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officedocument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Compatibility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CNFGLS13" sheetId="1" state="visible" r:id="rId2"/>
  </sheets>
  <definedNames>
    <definedName function="false" hidden="false" localSheetId="0" name="Print_Area" vbProcedure="false">CNFGLS13!$DK$407</definedName>
  </definedName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<sst xmlns="http://schemas.openxmlformats.org/spreadsheetml/2006/main" count="380" uniqueCount="326">
  <si>
    <t xml:space="preserve">IBM OS/2 LAN Server  V. 1.30.1 Configuration Sheet Ver 1.04</t>
  </si>
  <si>
    <t xml:space="preserve">.1(CSD WR05015) -- Configuration Worksheet Version 1.04</t>
  </si>
  <si>
    <t xml:space="preserve">Messages Values:</t>
  </si>
  <si>
    <t xml:space="preserve">Questions to Answer:</t>
  </si>
  <si>
    <t xml:space="preserve">Response:</t>
  </si>
  <si>
    <t xml:space="preserve">Potential Errors:</t>
  </si>
  <si>
    <t xml:space="preserve">&lt;&lt;- Exceeded or Equal to Max  Value</t>
  </si>
  <si>
    <t xml:space="preserve">IEEE 802.2 Results</t>
  </si>
  <si>
    <t xml:space="preserve">Memory Calculations</t>
  </si>
  <si>
    <t xml:space="preserve">Result</t>
  </si>
  <si>
    <t xml:space="preserve">IBMLAN.INI Paramters</t>
  </si>
  <si>
    <t xml:space="preserve">Potential Errors</t>
  </si>
  <si>
    <t xml:space="preserve">Memory Required</t>
  </si>
  <si>
    <t xml:space="preserve">Assumptions:</t>
  </si>
  <si>
    <t xml:space="preserve">Work Area</t>
  </si>
  <si>
    <t xml:space="preserve">&lt;&lt;- Please Specify a Positive #</t>
  </si>
  <si>
    <t xml:space="preserve">1. Server Name</t>
  </si>
  <si>
    <t xml:space="preserve">SERVER01</t>
  </si>
  <si>
    <t xml:space="preserve">(Machine Name)</t>
  </si>
  <si>
    <t xml:space="preserve">Maximum SAPS-&gt;</t>
  </si>
  <si>
    <t xml:space="preserve">&lt;- Server RAM</t>
  </si>
  <si>
    <t xml:space="preserve">&lt;- NET1, X1 operand</t>
  </si>
  <si>
    <t xml:space="preserve">&lt;- Total Requesters on Server</t>
  </si>
  <si>
    <t xml:space="preserve">&lt;&lt;- Too Many Specified</t>
  </si>
  <si>
    <t xml:space="preserve">2. Domain Name</t>
  </si>
  <si>
    <t xml:space="preserve">DOMAIN01</t>
  </si>
  <si>
    <t xml:space="preserve"> </t>
  </si>
  <si>
    <t xml:space="preserve">Maximum Link Stations-&gt;</t>
  </si>
  <si>
    <t xml:space="preserve">&lt;- Base Used</t>
  </si>
  <si>
    <t xml:space="preserve">&lt;- NET1, X2 operand</t>
  </si>
  <si>
    <t xml:space="preserve">Kernel</t>
  </si>
  <si>
    <t xml:space="preserve">sizreqbuf=</t>
  </si>
  <si>
    <t xml:space="preserve">&lt;- Additional Servers</t>
  </si>
  <si>
    <t xml:space="preserve">&lt;&lt;- Not enough RAM to Start</t>
  </si>
  <si>
    <t xml:space="preserve">3. Total No. of DLR Reqs.</t>
  </si>
  <si>
    <t xml:space="preserve">(0 if none)</t>
  </si>
  <si>
    <t xml:space="preserve">802.2 Users -&gt;</t>
  </si>
  <si>
    <t xml:space="preserve">&lt;- Available</t>
  </si>
  <si>
    <t xml:space="preserve">&lt;- NET1, X3 operand</t>
  </si>
  <si>
    <t xml:space="preserve">CM Base</t>
  </si>
  <si>
    <t xml:space="preserve"> Messenger Service on SRV=</t>
  </si>
  <si>
    <t xml:space="preserve">&lt;- User Logged onto Server (2=Yes, 0=No)</t>
  </si>
  <si>
    <t xml:space="preserve">&lt;&lt;- Too Many RIPLs Specified</t>
  </si>
  <si>
    <t xml:space="preserve">FAR</t>
  </si>
  <si>
    <t xml:space="preserve">4. DLR Reqs. with Windows</t>
  </si>
  <si>
    <t xml:space="preserve">(# out of total DLR)</t>
  </si>
  <si>
    <t xml:space="preserve">Transmit Buffer Size-&gt;</t>
  </si>
  <si>
    <t xml:space="preserve">&lt;- Memory used by INI options</t>
  </si>
  <si>
    <t xml:space="preserve">&lt;- MAXUSERS</t>
  </si>
  <si>
    <t xml:space="preserve">L Serv</t>
  </si>
  <si>
    <t xml:space="preserve">numfiletasks=</t>
  </si>
  <si>
    <t xml:space="preserve">&lt;- Addit. Connections to servers if SRV used as Req </t>
  </si>
  <si>
    <t xml:space="preserve">&lt;&lt;- Insufficient RAM for Configuration</t>
  </si>
  <si>
    <t xml:space="preserve">ENOUGH!</t>
  </si>
  <si>
    <t xml:space="preserve">5. OS/2 Requesters</t>
  </si>
  <si>
    <t xml:space="preserve">Transmit Buffer Count -&gt;</t>
  </si>
  <si>
    <t xml:space="preserve">&lt;- Balance After INI options</t>
  </si>
  <si>
    <t xml:space="preserve">&lt;- MAXSHARES</t>
  </si>
  <si>
    <t xml:space="preserve">NetBIOS names to requester</t>
  </si>
  <si>
    <t xml:space="preserve">&lt;- DLRINST used (1=Y, 0=N)</t>
  </si>
  <si>
    <t xml:space="preserve">&lt;&lt;- Too Many NETBIOS Resources Specified</t>
  </si>
  <si>
    <t xml:space="preserve">No More Out There.</t>
  </si>
  <si>
    <t xml:space="preserve">6. No. of Additional. Servers</t>
  </si>
  <si>
    <t xml:space="preserve"># Q Elements -&gt;</t>
  </si>
  <si>
    <t xml:space="preserve">&lt;- Calculated HPFS Cache</t>
  </si>
  <si>
    <t xml:space="preserve">&lt;- MAXLOCKS</t>
  </si>
  <si>
    <t xml:space="preserve">NetBIOS names to server</t>
  </si>
  <si>
    <t xml:space="preserve">&lt;- Remote IPL used (2=Y,0=N)</t>
  </si>
  <si>
    <t xml:space="preserve">&lt;&lt;- Adapter RAM Exceeded</t>
  </si>
  <si>
    <t xml:space="preserve">'===&gt;&gt;</t>
  </si>
  <si>
    <t xml:space="preserve">7. No. of Apps Shared</t>
  </si>
  <si>
    <t xml:space="preserve">(3 Shares/App)</t>
  </si>
  <si>
    <t xml:space="preserve">Glbl Desc Tbl Selectrs-&gt;</t>
  </si>
  <si>
    <t xml:space="preserve">&lt;- Calculated DISKCACHE</t>
  </si>
  <si>
    <t xml:space="preserve">&lt;- MAXOPENS</t>
  </si>
  <si>
    <t xml:space="preserve">maxchdevjob=</t>
  </si>
  <si>
    <t xml:space="preserve">&lt;- X1 Intermediate Result</t>
  </si>
  <si>
    <t xml:space="preserve">&lt;&lt;- Too Many DLR Requesters</t>
  </si>
  <si>
    <t xml:space="preserve">8. Memory in Server</t>
  </si>
  <si>
    <t xml:space="preserve">(MB, eg, 10)</t>
  </si>
  <si>
    <t xml:space="preserve">&lt;- NET RUN, AT, print reserve</t>
  </si>
  <si>
    <t xml:space="preserve">&lt;- MAXCONNECTIONS</t>
  </si>
  <si>
    <t xml:space="preserve">maxchdevs=</t>
  </si>
  <si>
    <t xml:space="preserve">&lt;- Additional NETBIOS Stations Requred</t>
  </si>
  <si>
    <t xml:space="preserve">&lt;&lt;- Too Many OS/2 Requesters</t>
  </si>
  <si>
    <t xml:space="preserve">9. DLRINST used at SRV</t>
  </si>
  <si>
    <t xml:space="preserve">N</t>
  </si>
  <si>
    <t xml:space="preserve">(Y/N)</t>
  </si>
  <si>
    <t xml:space="preserve">NETBIOS Results</t>
  </si>
  <si>
    <t xml:space="preserve">&lt;- NUMREQBUF</t>
  </si>
  <si>
    <t xml:space="preserve">Total</t>
  </si>
  <si>
    <t xml:space="preserve">maxchdevq=</t>
  </si>
  <si>
    <t xml:space="preserve">&lt;- Additional NETBIOS Commands Required</t>
  </si>
  <si>
    <t xml:space="preserve">&lt;&lt;- Too Many Requesters on Server</t>
  </si>
  <si>
    <t xml:space="preserve">10. No. of RIPL Requesters </t>
  </si>
  <si>
    <t xml:space="preserve">Datagrams use rmt dir -&gt;</t>
  </si>
  <si>
    <t xml:space="preserve">Yes</t>
  </si>
  <si>
    <t xml:space="preserve">&lt;- NUMBIGBUF</t>
  </si>
  <si>
    <t xml:space="preserve">INI+Cache</t>
  </si>
  <si>
    <t xml:space="preserve">Default net1,X3 param</t>
  </si>
  <si>
    <t xml:space="preserve">&lt;- Additional NETBIOS Sessions Required</t>
  </si>
  <si>
    <t xml:space="preserve">&lt;&lt;- Please Enter Y or N</t>
  </si>
  <si>
    <t xml:space="preserve">11. No. of Home Directories</t>
  </si>
  <si>
    <t xml:space="preserve">(# if assigned)</t>
  </si>
  <si>
    <t xml:space="preserve">&lt;- MAXSESSOPENS</t>
  </si>
  <si>
    <t xml:space="preserve">MemUsed</t>
  </si>
  <si>
    <t xml:space="preserve"># of Group SAPs</t>
  </si>
  <si>
    <t xml:space="preserve">&lt;- Additional NETBIOS Names Required</t>
  </si>
  <si>
    <t xml:space="preserve">&lt;&lt;- See Column K for More Information</t>
  </si>
  <si>
    <t xml:space="preserve">12. SRV used as Requester</t>
  </si>
  <si>
    <t xml:space="preserve">Maximum Sessions -&gt;</t>
  </si>
  <si>
    <t xml:space="preserve">&lt;- MAXSEARCHES</t>
  </si>
  <si>
    <t xml:space="preserve">Srvheuristic # 5</t>
  </si>
  <si>
    <t xml:space="preserve">&lt;- SNA SAP req'd (1=Y, 0=N)</t>
  </si>
  <si>
    <t xml:space="preserve">&lt;&lt;- Too Many Windows Reqs.</t>
  </si>
  <si>
    <t xml:space="preserve">13. No.of File/Printer Aliases</t>
  </si>
  <si>
    <t xml:space="preserve">(1 Share/Alias)</t>
  </si>
  <si>
    <t xml:space="preserve">Maximum Commands -&gt;</t>
  </si>
  <si>
    <t xml:space="preserve">&lt;- SRVHEURISTICS</t>
  </si>
  <si>
    <t xml:space="preserve">Srvheuristic # 10</t>
  </si>
  <si>
    <t xml:space="preserve">&lt;- Constant, '0'</t>
  </si>
  <si>
    <t xml:space="preserve">&lt;&lt;- Please Enter S or R</t>
  </si>
  <si>
    <t xml:space="preserve">14. Application code on SRV</t>
  </si>
  <si>
    <t xml:space="preserve">Y</t>
  </si>
  <si>
    <t xml:space="preserve">Maximum Names -&gt;</t>
  </si>
  <si>
    <t xml:space="preserve">&lt;- SRVPIPES</t>
  </si>
  <si>
    <t xml:space="preserve">Srvheuristic #11</t>
  </si>
  <si>
    <t xml:space="preserve">&lt;- SQLLOO SAP req'd (1=Y, 0=N)</t>
  </si>
  <si>
    <t xml:space="preserve">&lt;&lt;- Please Enter a Valid Number</t>
  </si>
  <si>
    <t xml:space="preserve">15. 16/4 TRN Adapter</t>
  </si>
  <si>
    <t xml:space="preserve">No. of Remote Names -&gt;</t>
  </si>
  <si>
    <t xml:space="preserve">&lt;- NUMSERVICES</t>
  </si>
  <si>
    <t xml:space="preserve">Srvheuristic #17</t>
  </si>
  <si>
    <t xml:space="preserve">&lt;- IBM LAN Manager SAP Req'd (1=Y,0=N)</t>
  </si>
  <si>
    <t xml:space="preserve">&lt;&lt;- Enter a Minimum of One</t>
  </si>
  <si>
    <t xml:space="preserve">16. Appl I/O Seqtl or Random</t>
  </si>
  <si>
    <t xml:space="preserve">S</t>
  </si>
  <si>
    <t xml:space="preserve">(S/R)</t>
  </si>
  <si>
    <t xml:space="preserve">HPFS used on IBMLAN Drive</t>
  </si>
  <si>
    <t xml:space="preserve">&lt;- Other 802.2 Applications Requirements.</t>
  </si>
  <si>
    <t xml:space="preserve">&lt;&lt;- Invlid Entry/Combination</t>
  </si>
  <si>
    <t xml:space="preserve">CONFIG.SYS</t>
  </si>
  <si>
    <t xml:space="preserve">LazyWrite Enabled</t>
  </si>
  <si>
    <t xml:space="preserve">&lt;- Total 802.2 SAPs req'd</t>
  </si>
  <si>
    <t xml:space="preserve">&lt;&lt;- 254 or More Stations Required!!!</t>
  </si>
  <si>
    <t xml:space="preserve">PAGE DOWN  FOR COMMUNICATIONS MANAGER OPTIONS AND ERROR MESSAGES</t>
  </si>
  <si>
    <t xml:space="preserve">MAX Allowable Open Files at REQ</t>
  </si>
  <si>
    <t xml:space="preserve">&lt;- Number of 802.2 Transmit Buffers</t>
  </si>
  <si>
    <t xml:space="preserve">&lt;&lt;- 254 or More Sessions Required!!!</t>
  </si>
  <si>
    <t xml:space="preserve">&lt;- IBM LAN Manager Stations Required.</t>
  </si>
  <si>
    <t xml:space="preserve">&lt;&lt;- 255 or More Commands Required!!!</t>
  </si>
  <si>
    <t xml:space="preserve">IBM OS/2 Ver 1.3 Communications Manager Options</t>
  </si>
  <si>
    <t xml:space="preserve">&lt;- SNA Gateway Stations Required</t>
  </si>
  <si>
    <t xml:space="preserve">&lt;&lt;- Too Many Stations Required</t>
  </si>
  <si>
    <t xml:space="preserve">&lt;- APPC Stations Required</t>
  </si>
  <si>
    <t xml:space="preserve">&lt;&lt;- 254 or More Names Required!!!</t>
  </si>
  <si>
    <t xml:space="preserve">&lt;- RDS OS/2 Stations Required</t>
  </si>
  <si>
    <t xml:space="preserve">&lt;&lt;- Too Many, 5 Max</t>
  </si>
  <si>
    <t xml:space="preserve">Other NETBIOS applications</t>
  </si>
  <si>
    <t xml:space="preserve">n</t>
  </si>
  <si>
    <t xml:space="preserve">&lt;- RDS DOS Stations Required</t>
  </si>
  <si>
    <t xml:space="preserve">&lt;&lt;- 16/4 Adapter Reccomended</t>
  </si>
  <si>
    <t xml:space="preserve">&lt;- IEEE 802.2 Applications Stations Required</t>
  </si>
  <si>
    <t xml:space="preserve">&lt;&lt; - 16/4 Adapter REQUIRED</t>
  </si>
  <si>
    <t xml:space="preserve">&lt;- Total Additional Stations Required</t>
  </si>
  <si>
    <t xml:space="preserve">&lt;- Total 802.2 Users Required (5 Max allowed)</t>
  </si>
  <si>
    <t xml:space="preserve">&lt;- Sequential (1), or Radom operations (0), mainly</t>
  </si>
  <si>
    <t xml:space="preserve">IBM LAN Manager on SRV?</t>
  </si>
  <si>
    <t xml:space="preserve">&lt;- Programs Loaded from Server (3=Y,1=N)</t>
  </si>
  <si>
    <t xml:space="preserve">&lt;- NETBIOS Sessions (Intermediate result)</t>
  </si>
  <si>
    <t xml:space="preserve">SNA Gateway  Support</t>
  </si>
  <si>
    <t xml:space="preserve">&lt;- First cut at HPFS cache size</t>
  </si>
  <si>
    <t xml:space="preserve">&lt;- Potential error check (part 1 of 2) 0=none, 1=problem</t>
  </si>
  <si>
    <t xml:space="preserve">APPC Support Req'd</t>
  </si>
  <si>
    <t xml:space="preserve">Server  also RDS</t>
  </si>
  <si>
    <t xml:space="preserve">Other IEEE 802.2 API Appls.</t>
  </si>
  <si>
    <t xml:space="preserve">(0 if none, 1 for Em Wks))</t>
  </si>
  <si>
    <t xml:space="preserve">PAGE DOWN  FOR  ERROR MESSAGES</t>
  </si>
  <si>
    <t xml:space="preserve">NETBIOS Stations</t>
  </si>
  <si>
    <t xml:space="preserve">NETBIOS Sessions</t>
  </si>
  <si>
    <t xml:space="preserve">NETBIOS Commands</t>
  </si>
  <si>
    <t xml:space="preserve">NETBIOS Names</t>
  </si>
  <si>
    <t xml:space="preserve">.</t>
  </si>
  <si>
    <t xml:space="preserve">Server RAM</t>
  </si>
  <si>
    <t xml:space="preserve">NETBIOS Work Area</t>
  </si>
  <si>
    <t xml:space="preserve">Adapter RAM</t>
  </si>
  <si>
    <t xml:space="preserve">802.2 Stations Required</t>
  </si>
  <si>
    <t xml:space="preserve">802.2 Users Required</t>
  </si>
  <si>
    <t xml:space="preserve">Potential Problems/Warnings</t>
  </si>
  <si>
    <t xml:space="preserve">IF NO SIGNIFICANT ERRORS ARE DISPLAYED ABOVE (IN BLUE), </t>
  </si>
  <si>
    <t xml:space="preserve">PAGE DOWN  FOR  GENERATED IBMLAN.INI FILE AND CM CONFIG PARAMETERS</t>
  </si>
  <si>
    <t xml:space="preserve">; OS/2 LAN Server initialization file</t>
  </si>
  <si>
    <t xml:space="preserve">[networks]</t>
  </si>
  <si>
    <t xml:space="preserve">; This information is read by the redirector at device initialization time.</t>
  </si>
  <si>
    <t xml:space="preserve">  net1 = netbios$, 0, NB30, 32, 32, 16</t>
  </si>
  <si>
    <t xml:space="preserve">[requester]</t>
  </si>
  <si>
    <t xml:space="preserve">  COMPUTERNAME = O1</t>
  </si>
  <si>
    <t xml:space="preserve">  DOMAIN = O</t>
  </si>
  <si>
    <t xml:space="preserve">; The following parameters generally do not need to be</t>
  </si>
  <si>
    <t xml:space="preserve">; changed by the user.</t>
  </si>
  <si>
    <t xml:space="preserve">  charcount = 16</t>
  </si>
  <si>
    <t xml:space="preserve">  chartime = 250</t>
  </si>
  <si>
    <t xml:space="preserve">  charwait = 3600</t>
  </si>
  <si>
    <t xml:space="preserve">  keepconn = 600</t>
  </si>
  <si>
    <t xml:space="preserve">  keepsearch = 600</t>
  </si>
  <si>
    <t xml:space="preserve">  maxcmds = 32</t>
  </si>
  <si>
    <t xml:space="preserve">  maxerrorlog = 100</t>
  </si>
  <si>
    <t xml:space="preserve">  maxthreads = 20</t>
  </si>
  <si>
    <t xml:space="preserve">  maxwrkcache = 64</t>
  </si>
  <si>
    <t xml:space="preserve">  numalerts = 12</t>
  </si>
  <si>
    <t xml:space="preserve">  numcharbuf = 10</t>
  </si>
  <si>
    <t xml:space="preserve">  numservices = 8</t>
  </si>
  <si>
    <t xml:space="preserve">  numworkbuf = 15</t>
  </si>
  <si>
    <t xml:space="preserve">  numdgrambuf = 14</t>
  </si>
  <si>
    <t xml:space="preserve">  printbuftime = 90</t>
  </si>
  <si>
    <t xml:space="preserve">  sesstimeout = 45</t>
  </si>
  <si>
    <t xml:space="preserve">  sizcharbuf  = 512</t>
  </si>
  <si>
    <t xml:space="preserve">  sizerror = 1024</t>
  </si>
  <si>
    <t xml:space="preserve">  sizworkbuf = 4096</t>
  </si>
  <si>
    <t xml:space="preserve">; The next lines help you to locate bits in the wrkheuristics entry.</t>
  </si>
  <si>
    <t xml:space="preserve">;                                                      1                     2                     3</t>
  </si>
  <si>
    <t xml:space="preserve">;                               012345678901234567890123456789012</t>
  </si>
  <si>
    <t xml:space="preserve">  wrkheuristics = 111111111131111111000101112011102</t>
  </si>
  <si>
    <t xml:space="preserve">  wrknets = net1</t>
  </si>
  <si>
    <t xml:space="preserve">  WRKSERVICES = MESSENGER,NETPOPUP</t>
  </si>
  <si>
    <t xml:space="preserve">[messenger]</t>
  </si>
  <si>
    <t xml:space="preserve">  logfile = messages.log</t>
  </si>
  <si>
    <t xml:space="preserve">  sizmessbuf = 4096</t>
  </si>
  <si>
    <t xml:space="preserve">[netlogon]</t>
  </si>
  <si>
    <t xml:space="preserve">  SCRIPTS = C:\IBMLAN\REPL\IMPORT\SCRIPTS</t>
  </si>
  <si>
    <t xml:space="preserve">   pulse = 60</t>
  </si>
  <si>
    <t xml:space="preserve">   update = yes</t>
  </si>
  <si>
    <t xml:space="preserve">[replicator]</t>
  </si>
  <si>
    <t xml:space="preserve">  replicate = IMPORT</t>
  </si>
  <si>
    <t xml:space="preserve">  importpath = C:\IBMLAN\REPL\IMPORT</t>
  </si>
  <si>
    <t xml:space="preserve">  exportpath = C:\IBMLAN\REPL\EXPORT</t>
  </si>
  <si>
    <t xml:space="preserve">  tryuser = yes</t>
  </si>
  <si>
    <t xml:space="preserve">  password =</t>
  </si>
  <si>
    <t xml:space="preserve">  interval = 5</t>
  </si>
  <si>
    <t xml:space="preserve">  guardtime = 2</t>
  </si>
  <si>
    <t xml:space="preserve">  pulse = 3</t>
  </si>
  <si>
    <t xml:space="preserve">  random = 60</t>
  </si>
  <si>
    <t xml:space="preserve">[server]</t>
  </si>
  <si>
    <t xml:space="preserve">  alertnames =</t>
  </si>
  <si>
    <t xml:space="preserve">  auditing = yes</t>
  </si>
  <si>
    <t xml:space="preserve">  autodisconnect = 120</t>
  </si>
  <si>
    <t xml:space="preserve">  cleanup = no</t>
  </si>
  <si>
    <t xml:space="preserve">  maxusers = 32</t>
  </si>
  <si>
    <t xml:space="preserve">; changed by the user.  NOTE:  srvnets= is represented in</t>
  </si>
  <si>
    <t xml:space="preserve">; the server info struct as a 16-bit lan mask.  Srvnet names</t>
  </si>
  <si>
    <t xml:space="preserve">; are converted to indexes within [networks] for the named nets.</t>
  </si>
  <si>
    <t xml:space="preserve">  guestacct = guest</t>
  </si>
  <si>
    <t xml:space="preserve">  accessalert = 5</t>
  </si>
  <si>
    <t xml:space="preserve">  alertsched = 5</t>
  </si>
  <si>
    <t xml:space="preserve">  diskalert = 5000</t>
  </si>
  <si>
    <t xml:space="preserve">  erroralert = 5</t>
  </si>
  <si>
    <t xml:space="preserve">  logonalert = 5</t>
  </si>
  <si>
    <t xml:space="preserve">  maxauditlog = 100</t>
  </si>
  <si>
    <t xml:space="preserve">  maxchdevjob = 8</t>
  </si>
  <si>
    <t xml:space="preserve">  maxchdevq = 8</t>
  </si>
  <si>
    <t xml:space="preserve">  maxchdevs = 8</t>
  </si>
  <si>
    <t xml:space="preserve">  maxconnections = 128</t>
  </si>
  <si>
    <t xml:space="preserve">  maxlocks = 64</t>
  </si>
  <si>
    <t xml:space="preserve">  maxopens = 64</t>
  </si>
  <si>
    <t xml:space="preserve">  maxsearches = 50</t>
  </si>
  <si>
    <t xml:space="preserve">  maxsessopens = 55</t>
  </si>
  <si>
    <t xml:space="preserve">  maxsessreqs = 50</t>
  </si>
  <si>
    <t xml:space="preserve">  maxsessvcs = 1</t>
  </si>
  <si>
    <t xml:space="preserve">  maxshares = 32</t>
  </si>
  <si>
    <t xml:space="preserve">  netioalert = 5</t>
  </si>
  <si>
    <t xml:space="preserve">  numbigbuf = 5</t>
  </si>
  <si>
    <t xml:space="preserve">  numfiletasks = 4</t>
  </si>
  <si>
    <t xml:space="preserve">  numreqbuf = 96</t>
  </si>
  <si>
    <t xml:space="preserve">  pipebuf = 8192</t>
  </si>
  <si>
    <t xml:space="preserve">  sizreqbuf = 4096</t>
  </si>
  <si>
    <t xml:space="preserve">  srvanndelta = 3000</t>
  </si>
  <si>
    <t xml:space="preserve">  srvannounce = 60</t>
  </si>
  <si>
    <t xml:space="preserve">  srvpipes = 3</t>
  </si>
  <si>
    <t xml:space="preserve">; The next lines help you to locate bits in the srvheuristics entry.</t>
  </si>
  <si>
    <t xml:space="preserve">;                                                     1</t>
  </si>
  <si>
    <t xml:space="preserve">;                             0123456789012345678</t>
  </si>
  <si>
    <t xml:space="preserve">  srvnets = net1</t>
  </si>
  <si>
    <t xml:space="preserve">  SRVSERVICES = NETLOGON,ALERTER,NETRUN</t>
  </si>
  <si>
    <t xml:space="preserve">[alerter]</t>
  </si>
  <si>
    <t xml:space="preserve">  sizalertbuf = 3072</t>
  </si>
  <si>
    <t xml:space="preserve">[netrun]</t>
  </si>
  <si>
    <t xml:space="preserve">  maxruns = 3</t>
  </si>
  <si>
    <t xml:space="preserve">  runpath = C:\</t>
  </si>
  <si>
    <t xml:space="preserve">[services]</t>
  </si>
  <si>
    <t xml:space="preserve">  DLRINST = SERVICES\DLRINST.EXE</t>
  </si>
  <si>
    <t xml:space="preserve">; Correlates name of service to pathname of service program.</t>
  </si>
  <si>
    <t xml:space="preserve">; The pathname must be either</t>
  </si>
  <si>
    <t xml:space="preserve">;       1) an absolute path (including the drive specification)</t>
  </si>
  <si>
    <t xml:space="preserve">;                       OR</t>
  </si>
  <si>
    <t xml:space="preserve">;       2) a path relative to the IBMLAN root</t>
  </si>
  <si>
    <t xml:space="preserve">  requester = services\wksta.exe</t>
  </si>
  <si>
    <t xml:space="preserve">  messenger = services\msrvinit.exe</t>
  </si>
  <si>
    <t xml:space="preserve">  netpopup = services\netpopup.exe</t>
  </si>
  <si>
    <t xml:space="preserve">  server = services\netsvini.exe</t>
  </si>
  <si>
    <t xml:space="preserve">  alerter = services\alerter.exe</t>
  </si>
  <si>
    <t xml:space="preserve">  netlogon = services\netlogon.exe</t>
  </si>
  <si>
    <t xml:space="preserve">  replicator = services\replicat.exe</t>
  </si>
  <si>
    <t xml:space="preserve">  pcdosrpl = services\pcdosrpl.exe</t>
  </si>
  <si>
    <t xml:space="preserve">  netrun = services\runservr.exe</t>
  </si>
  <si>
    <t xml:space="preserve">PAGE DOWN  FOR  GENERATED COMM MGR CONFIG PARAMETERS</t>
  </si>
  <si>
    <t xml:space="preserve">;IFS=C:\OS2\HPFS.IFS   -C:</t>
  </si>
  <si>
    <t xml:space="preserve">;RUN=C:\OS2\CACHE.EXE   /LAZY:ON</t>
  </si>
  <si>
    <t xml:space="preserve">; IEEE 802.2</t>
  </si>
  <si>
    <t xml:space="preserve">;Maximum SAPS-&gt;</t>
  </si>
  <si>
    <t xml:space="preserve">; Maximum Link Stations-&gt;</t>
  </si>
  <si>
    <t xml:space="preserve">; # 802.2 Users -&gt;</t>
  </si>
  <si>
    <t xml:space="preserve">;Transmit Buffer Size-&gt;</t>
  </si>
  <si>
    <t xml:space="preserve">;Transmit Buffer Count -&gt;</t>
  </si>
  <si>
    <t xml:space="preserve">; Number of Queue Elements-&gt;</t>
  </si>
  <si>
    <t xml:space="preserve">; Globl Descriptor Tbl Selectors-&gt;</t>
  </si>
  <si>
    <t xml:space="preserve">;</t>
  </si>
  <si>
    <t xml:space="preserve">;NetBIOS</t>
  </si>
  <si>
    <t xml:space="preserve">;Datagrams use rmt directory-&gt;</t>
  </si>
  <si>
    <t xml:space="preserve">;Maximum Link Stations-&gt;</t>
  </si>
  <si>
    <t xml:space="preserve">;Maximum Sessions-&gt;</t>
  </si>
  <si>
    <t xml:space="preserve">;Maximum Commands-&gt;</t>
  </si>
  <si>
    <t xml:space="preserve">;Maximum Names-&gt;</t>
  </si>
  <si>
    <t xml:space="preserve">;Number of Remote Names -&gt;</t>
  </si>
  <si>
    <t xml:space="preserve">;CONFIG.SYS</t>
  </si>
  <si>
    <t xml:space="preserve">END OF</t>
  </si>
  <si>
    <t xml:space="preserve">DATA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</si>
</sst>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General"/>
    <numFmt numFmtId="166" formatCode="0"/>
    <numFmt numFmtId="167" formatCode="0.00"/>
    <numFmt numFmtId="168" formatCode="\$#,##0\ ;[RED]&quot;($&quot;#,##0\)"/>
  </numFmts>
  <fonts count="7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Arial"/>
      <family val="2"/>
    </font>
    <font>
      <b val="true"/>
      <sz val="10"/>
      <color rgb="FF0000FF"/>
      <name val="Arial"/>
      <family val="2"/>
    </font>
    <font>
      <b val="true"/>
      <u val="single"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rgb="FFCCFFCC"/>
      </patternFill>
    </fill>
  </fills>
  <borders count="15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2" borderId="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2" borderId="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6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" borderId="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8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9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4" fillId="0" borderId="1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2" borderId="3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0" fillId="0" borderId="1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9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5" fontId="0" fillId="0" borderId="7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5" fillId="0" borderId="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0" borderId="4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0" fillId="0" borderId="1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2" borderId="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2" borderId="1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2" borderId="9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2" borderId="8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6" fillId="2" borderId="1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2" borderId="6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2" borderId="5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0" fillId="0" borderId="1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2" borderId="14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7" fontId="0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0" fillId="0" borderId="8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4" fillId="2" borderId="1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2" borderId="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2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0" fillId="2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2" borderId="5" xfId="0" applyFont="true" applyBorder="tru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FDFD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Q844"/>
  <sheetViews>
    <sheetView showFormulas="false" showGridLines="true" showRowColHeaders="true" showZeros="true" rightToLeft="false" tabSelected="true" showOutlineSymbols="true" defaultGridColor="false" view="normal" topLeftCell="A1" colorId="10" zoomScale="100" zoomScaleNormal="100" zoomScalePageLayoutView="100" workbookViewId="0">
      <selection pane="topLeft" activeCell="B4" activeCellId="0" sqref="B4"/>
    </sheetView>
  </sheetViews>
  <sheetFormatPr defaultColWidth="11.53515625" defaultRowHeight="12.75" zeroHeight="false" outlineLevelRow="0" outlineLevelCol="0"/>
  <cols>
    <col collapsed="false" customWidth="true" hidden="false" outlineLevel="0" max="1" min="1" style="0" width="28.96"/>
    <col collapsed="false" customWidth="true" hidden="false" outlineLevel="0" max="2" min="2" style="0" width="12.69"/>
    <col collapsed="false" customWidth="true" hidden="false" outlineLevel="0" max="3" min="3" style="0" width="18.97"/>
    <col collapsed="false" customWidth="true" hidden="false" outlineLevel="0" max="4" min="4" style="0" width="28.82"/>
    <col collapsed="false" customWidth="true" hidden="false" outlineLevel="0" max="5" min="5" style="0" width="21.26"/>
    <col collapsed="false" customWidth="true" hidden="false" outlineLevel="0" max="6" min="6" style="0" width="13.12"/>
    <col collapsed="false" customWidth="true" hidden="false" outlineLevel="0" max="7" min="7" style="0" width="13.55"/>
    <col collapsed="false" customWidth="true" hidden="false" outlineLevel="0" max="8" min="8" style="0" width="36.1"/>
    <col collapsed="false" customWidth="true" hidden="false" outlineLevel="0" max="9" min="9" style="0" width="23.39"/>
    <col collapsed="false" customWidth="true" hidden="false" outlineLevel="0" max="10" min="10" style="0" width="25.82"/>
    <col collapsed="false" customWidth="true" hidden="false" outlineLevel="0" max="11" min="11" style="0" width="33.38"/>
    <col collapsed="false" customWidth="true" hidden="false" outlineLevel="0" max="16" min="16" style="0" width="31.1"/>
    <col collapsed="false" customWidth="true" hidden="false" outlineLevel="0" max="19" min="19" style="0" width="25.82"/>
    <col collapsed="false" customWidth="true" hidden="false" outlineLevel="0" max="21" min="21" style="0" width="11.12"/>
    <col collapsed="false" customWidth="true" hidden="false" outlineLevel="0" max="27" min="27" style="0" width="19.12"/>
  </cols>
  <sheetData>
    <row r="1" customFormat="false" ht="12.75" hidden="false" customHeight="true" outlineLevel="0" collapsed="false">
      <c r="A1" s="1" t="s">
        <v>0</v>
      </c>
      <c r="B1" s="2" t="s">
        <v>1</v>
      </c>
      <c r="C1" s="3"/>
      <c r="D1" s="4"/>
      <c r="AA1" s="5" t="s">
        <v>2</v>
      </c>
      <c r="AB1" s="6"/>
      <c r="AC1" s="6"/>
      <c r="AD1" s="7"/>
    </row>
    <row r="2" customFormat="false" ht="12.75" hidden="false" customHeight="true" outlineLevel="0" collapsed="false">
      <c r="A2" s="8" t="s">
        <v>3</v>
      </c>
      <c r="B2" s="5" t="s">
        <v>4</v>
      </c>
      <c r="C2" s="9"/>
      <c r="D2" s="5" t="s">
        <v>5</v>
      </c>
      <c r="S2" s="9"/>
      <c r="AA2" s="10" t="s">
        <v>6</v>
      </c>
      <c r="AB2" s="11"/>
      <c r="AC2" s="11"/>
      <c r="AD2" s="12"/>
    </row>
    <row r="3" customFormat="false" ht="12.75" hidden="false" customHeight="true" outlineLevel="0" collapsed="false">
      <c r="A3" s="13"/>
      <c r="B3" s="14"/>
      <c r="C3" s="9"/>
      <c r="D3" s="15"/>
      <c r="E3" s="5" t="s">
        <v>7</v>
      </c>
      <c r="F3" s="16"/>
      <c r="G3" s="17"/>
      <c r="H3" s="5" t="s">
        <v>8</v>
      </c>
      <c r="I3" s="5" t="s">
        <v>9</v>
      </c>
      <c r="J3" s="5" t="s">
        <v>10</v>
      </c>
      <c r="K3" s="5" t="s">
        <v>11</v>
      </c>
      <c r="L3" s="18" t="s">
        <v>12</v>
      </c>
      <c r="M3" s="3"/>
      <c r="P3" s="5" t="s">
        <v>13</v>
      </c>
      <c r="Q3" s="19"/>
      <c r="S3" s="5" t="s">
        <v>14</v>
      </c>
      <c r="T3" s="20"/>
      <c r="U3" s="20"/>
      <c r="V3" s="20"/>
      <c r="W3" s="20"/>
      <c r="X3" s="20"/>
      <c r="Y3" s="21"/>
      <c r="AA3" s="10" t="s">
        <v>15</v>
      </c>
      <c r="AB3" s="11"/>
      <c r="AC3" s="11"/>
      <c r="AD3" s="12"/>
    </row>
    <row r="4" customFormat="false" ht="12.75" hidden="false" customHeight="true" outlineLevel="0" collapsed="false">
      <c r="A4" s="22" t="s">
        <v>16</v>
      </c>
      <c r="B4" s="23" t="s">
        <v>17</v>
      </c>
      <c r="C4" s="24" t="s">
        <v>18</v>
      </c>
      <c r="D4" s="12"/>
      <c r="E4" s="25" t="s">
        <v>19</v>
      </c>
      <c r="F4" s="26" t="n">
        <f aca="false">MAX(S20,3)</f>
        <v>3</v>
      </c>
      <c r="G4" s="26" t="n">
        <f aca="false">IF(B11*1024&lt;0,0,B11*1024)</f>
        <v>10240</v>
      </c>
      <c r="H4" s="12" t="s">
        <v>20</v>
      </c>
      <c r="I4" s="26" t="n">
        <f aca="false">MIN(MAX(IF(S9=2,+S10+10,+S10),32),254)</f>
        <v>32</v>
      </c>
      <c r="J4" s="11" t="s">
        <v>21</v>
      </c>
      <c r="K4" s="26" t="str">
        <f aca="false">IF(I4&gt;=254,AA2,"OK")</f>
        <v>OK</v>
      </c>
      <c r="L4" s="11"/>
      <c r="M4" s="12"/>
      <c r="N4" s="11"/>
      <c r="O4" s="11"/>
      <c r="P4" s="26"/>
      <c r="Q4" s="27"/>
      <c r="R4" s="11"/>
      <c r="S4" s="26" t="n">
        <f aca="false">+B6+B8</f>
        <v>0</v>
      </c>
      <c r="T4" s="11" t="s">
        <v>22</v>
      </c>
      <c r="U4" s="11"/>
      <c r="V4" s="11"/>
      <c r="W4" s="11"/>
      <c r="X4" s="11"/>
      <c r="Y4" s="12"/>
      <c r="Z4" s="11"/>
      <c r="AA4" s="10" t="s">
        <v>23</v>
      </c>
      <c r="AB4" s="11"/>
      <c r="AC4" s="11"/>
      <c r="AD4" s="12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11"/>
      <c r="BL4" s="11"/>
      <c r="BM4" s="11"/>
      <c r="BN4" s="11"/>
      <c r="BO4" s="11"/>
      <c r="BP4" s="11"/>
      <c r="BQ4" s="11"/>
      <c r="BR4" s="11"/>
      <c r="BS4" s="11"/>
      <c r="BT4" s="11"/>
      <c r="BU4" s="11"/>
      <c r="BV4" s="11"/>
      <c r="BW4" s="11"/>
      <c r="BX4" s="11"/>
      <c r="BY4" s="11"/>
      <c r="BZ4" s="11"/>
      <c r="CA4" s="11"/>
      <c r="CB4" s="11"/>
      <c r="CC4" s="11"/>
      <c r="CD4" s="11"/>
      <c r="CE4" s="11"/>
      <c r="CF4" s="11"/>
      <c r="CG4" s="11"/>
      <c r="CH4" s="11"/>
      <c r="CI4" s="11"/>
      <c r="CJ4" s="11"/>
      <c r="CK4" s="11"/>
      <c r="CL4" s="11"/>
      <c r="CM4" s="11"/>
      <c r="CN4" s="11"/>
      <c r="CO4" s="11"/>
      <c r="CP4" s="11"/>
      <c r="CQ4" s="11"/>
      <c r="CR4" s="11"/>
      <c r="CS4" s="11"/>
      <c r="CT4" s="11"/>
      <c r="CU4" s="11"/>
      <c r="CV4" s="11"/>
      <c r="CW4" s="11"/>
      <c r="CX4" s="11"/>
      <c r="CY4" s="11"/>
      <c r="CZ4" s="11"/>
      <c r="DA4" s="11"/>
      <c r="DB4" s="11"/>
      <c r="DC4" s="11"/>
      <c r="DD4" s="11"/>
      <c r="DE4" s="11"/>
      <c r="DF4" s="11"/>
      <c r="DG4" s="11"/>
      <c r="DH4" s="11"/>
      <c r="DI4" s="11"/>
      <c r="DJ4" s="11"/>
      <c r="DK4" s="11"/>
      <c r="DL4" s="11"/>
      <c r="DM4" s="11"/>
      <c r="DN4" s="11"/>
      <c r="DO4" s="11"/>
      <c r="DP4" s="11"/>
      <c r="DQ4" s="11"/>
      <c r="DR4" s="11"/>
      <c r="DS4" s="11"/>
      <c r="DT4" s="11"/>
      <c r="DU4" s="11"/>
      <c r="DV4" s="11"/>
      <c r="DW4" s="11"/>
      <c r="DX4" s="11"/>
      <c r="DY4" s="11"/>
      <c r="DZ4" s="11"/>
      <c r="EA4" s="11"/>
      <c r="EB4" s="11"/>
      <c r="EC4" s="11"/>
      <c r="ED4" s="11"/>
      <c r="EE4" s="11"/>
      <c r="EF4" s="11"/>
      <c r="EG4" s="11"/>
      <c r="EH4" s="11"/>
      <c r="EI4" s="11"/>
      <c r="EJ4" s="11"/>
      <c r="EK4" s="11"/>
      <c r="EL4" s="11"/>
      <c r="EM4" s="11"/>
      <c r="EN4" s="11"/>
      <c r="EO4" s="11"/>
      <c r="EP4" s="11"/>
      <c r="EQ4" s="11"/>
      <c r="ER4" s="11"/>
      <c r="ES4" s="11"/>
      <c r="ET4" s="11"/>
      <c r="EU4" s="11"/>
      <c r="EV4" s="11"/>
      <c r="EW4" s="11"/>
      <c r="EX4" s="11"/>
      <c r="EY4" s="11"/>
      <c r="EZ4" s="11"/>
      <c r="FA4" s="11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</row>
    <row r="5" customFormat="false" ht="12.75" hidden="false" customHeight="true" outlineLevel="0" collapsed="false">
      <c r="A5" s="22" t="s">
        <v>24</v>
      </c>
      <c r="B5" s="23" t="s">
        <v>25</v>
      </c>
      <c r="C5" s="11" t="s">
        <v>26</v>
      </c>
      <c r="D5" s="12"/>
      <c r="E5" s="11" t="s">
        <v>27</v>
      </c>
      <c r="F5" s="26" t="n">
        <f aca="false">INT(IF(F14+S28-S11&gt;254,254,F14+S28-S11))</f>
        <v>33</v>
      </c>
      <c r="G5" s="26" t="n">
        <f aca="false">IF(INT(1024*M12/256)*256&lt;0,0,INT(1024*M12/256)*256)</f>
        <v>4096</v>
      </c>
      <c r="H5" s="12" t="s">
        <v>28</v>
      </c>
      <c r="I5" s="26" t="n">
        <f aca="false">MIN(MAX(I13+I12+I17+Q10+1,32),145)</f>
        <v>97</v>
      </c>
      <c r="J5" s="11" t="s">
        <v>29</v>
      </c>
      <c r="K5" s="26" t="str">
        <f aca="false">IF(I5&gt;=255,AA2,"OK")</f>
        <v>OK</v>
      </c>
      <c r="L5" s="11" t="s">
        <v>30</v>
      </c>
      <c r="M5" s="12" t="n">
        <v>2</v>
      </c>
      <c r="P5" s="26" t="s">
        <v>31</v>
      </c>
      <c r="Q5" s="27" t="n">
        <v>4096</v>
      </c>
      <c r="S5" s="26" t="n">
        <f aca="false">+B9</f>
        <v>0</v>
      </c>
      <c r="T5" s="11" t="s">
        <v>32</v>
      </c>
      <c r="Y5" s="12"/>
      <c r="AA5" s="10" t="s">
        <v>33</v>
      </c>
      <c r="AB5" s="11"/>
      <c r="AC5" s="11"/>
      <c r="AD5" s="12"/>
    </row>
    <row r="6" customFormat="false" ht="12.75" hidden="false" customHeight="true" outlineLevel="0" collapsed="false">
      <c r="A6" s="22" t="s">
        <v>34</v>
      </c>
      <c r="B6" s="23" t="n">
        <v>0</v>
      </c>
      <c r="C6" s="24" t="s">
        <v>35</v>
      </c>
      <c r="D6" s="26" t="str">
        <f aca="false">IF(B6&gt;254,IF(B6=" ",AA17,AA10),IF(B6&lt;0,AA3,""))</f>
        <v/>
      </c>
      <c r="E6" s="11" t="s">
        <v>36</v>
      </c>
      <c r="F6" s="26" t="n">
        <f aca="false">IF(S29&lt;3,3,IF(S29&gt;5,5,S29))</f>
        <v>3</v>
      </c>
      <c r="G6" s="26" t="n">
        <f aca="false">IF(G4-G5&lt;0,0,G4-G5)</f>
        <v>6144</v>
      </c>
      <c r="H6" s="12" t="s">
        <v>37</v>
      </c>
      <c r="I6" s="26" t="n">
        <f aca="false">MAX(Q13,16)</f>
        <v>16</v>
      </c>
      <c r="J6" s="11" t="s">
        <v>38</v>
      </c>
      <c r="K6" s="26" t="str">
        <f aca="false">IF(I6&gt;=254,AA2,"OK")</f>
        <v>OK</v>
      </c>
      <c r="L6" s="11" t="s">
        <v>39</v>
      </c>
      <c r="M6" s="12" t="n">
        <v>0.1</v>
      </c>
      <c r="P6" s="26" t="s">
        <v>40</v>
      </c>
      <c r="Q6" s="27" t="n">
        <v>1</v>
      </c>
      <c r="S6" s="26" t="n">
        <f aca="false">IF(B15="y",2,0)</f>
        <v>0</v>
      </c>
      <c r="T6" s="11" t="s">
        <v>41</v>
      </c>
      <c r="Y6" s="12"/>
      <c r="AA6" s="10" t="s">
        <v>42</v>
      </c>
      <c r="AB6" s="11"/>
      <c r="AC6" s="11"/>
      <c r="AD6" s="12"/>
      <c r="AM6" s="11" t="s">
        <v>43</v>
      </c>
    </row>
    <row r="7" customFormat="false" ht="12.75" hidden="false" customHeight="true" outlineLevel="0" collapsed="false">
      <c r="A7" s="22" t="s">
        <v>44</v>
      </c>
      <c r="B7" s="23" t="n">
        <v>0</v>
      </c>
      <c r="C7" s="24" t="s">
        <v>45</v>
      </c>
      <c r="D7" s="26" t="str">
        <f aca="false">IF(B7&gt;254,AA17,IF(B7&gt;B6,AA4,IF(B7&lt;0,AA3," ")))</f>
        <v> </v>
      </c>
      <c r="E7" s="25" t="s">
        <v>46</v>
      </c>
      <c r="F7" s="26" t="n">
        <f aca="false">IF(B18="Y",IF(B17="Y",4464,INT((Q5+128+7)/8)*8),IF(F5&lt;33,2040,IF(F5&lt;65,1048,600)))</f>
        <v>4464</v>
      </c>
      <c r="G7" s="26" t="n">
        <f aca="false">INT(((F9*22)+(I17*8192)+(I13*65939)+(I12*4224)+(I11*20)+(I10*230)+(I9*18)+(I8*103)+(I7*101)+(Q10*24)+(Q11*30)+(Q12*16)+16140)/1024)</f>
        <v>1828</v>
      </c>
      <c r="H7" s="12" t="s">
        <v>47</v>
      </c>
      <c r="I7" s="26" t="n">
        <f aca="false">MAX(32,MIN(+S4+S5+S8,254))</f>
        <v>32</v>
      </c>
      <c r="J7" s="11" t="s">
        <v>48</v>
      </c>
      <c r="K7" s="26" t="str">
        <f aca="false">IF(I7&gt;=254,AA2,"OK")</f>
        <v>OK</v>
      </c>
      <c r="L7" s="11" t="s">
        <v>49</v>
      </c>
      <c r="M7" s="12" t="n">
        <v>2.1</v>
      </c>
      <c r="P7" s="26" t="s">
        <v>50</v>
      </c>
      <c r="Q7" s="27" t="n">
        <v>1</v>
      </c>
      <c r="S7" s="26" t="n">
        <f aca="false">IF(S6=2,+B9,0)</f>
        <v>0</v>
      </c>
      <c r="T7" s="11" t="s">
        <v>51</v>
      </c>
      <c r="Y7" s="12"/>
      <c r="AA7" s="10" t="s">
        <v>52</v>
      </c>
      <c r="AB7" s="11"/>
      <c r="AC7" s="11"/>
      <c r="AD7" s="12"/>
      <c r="AM7" s="11" t="s">
        <v>53</v>
      </c>
    </row>
    <row r="8" customFormat="false" ht="12.75" hidden="false" customHeight="true" outlineLevel="0" collapsed="false">
      <c r="A8" s="22" t="s">
        <v>54</v>
      </c>
      <c r="B8" s="23" t="n">
        <v>0</v>
      </c>
      <c r="C8" s="24" t="s">
        <v>35</v>
      </c>
      <c r="D8" s="26" t="str">
        <f aca="false">IF(B8&gt;254,IF(B8=" ",AA17,AA11),IF(B8&lt;0,AA3,""))</f>
        <v/>
      </c>
      <c r="E8" s="11" t="s">
        <v>55</v>
      </c>
      <c r="F8" s="26" t="n">
        <f aca="false">S21</f>
        <v>2</v>
      </c>
      <c r="G8" s="26" t="n">
        <f aca="false">IF(G6-G7&lt;0,0,(G6-G7))</f>
        <v>4316</v>
      </c>
      <c r="H8" s="12" t="s">
        <v>56</v>
      </c>
      <c r="I8" s="26" t="n">
        <f aca="false">MIN(MAX(+B14+B10*3+B16,32),500)</f>
        <v>32</v>
      </c>
      <c r="J8" s="11" t="s">
        <v>57</v>
      </c>
      <c r="K8" s="26" t="str">
        <f aca="false">IF(I8&gt;=500,AA2,"OK")</f>
        <v>OK</v>
      </c>
      <c r="L8" s="26" t="str">
        <f aca="false">IF(B33="Y","SNA Gt'wy","")</f>
        <v/>
      </c>
      <c r="M8" s="26" t="str">
        <f aca="false">IF(B33="Y",0.1,"")</f>
        <v/>
      </c>
      <c r="P8" s="26" t="s">
        <v>58</v>
      </c>
      <c r="Q8" s="27" t="n">
        <v>3</v>
      </c>
      <c r="S8" s="26" t="n">
        <f aca="false">IF(B12="y",1,0)</f>
        <v>0</v>
      </c>
      <c r="T8" s="11" t="s">
        <v>59</v>
      </c>
      <c r="Y8" s="12"/>
      <c r="AA8" s="10" t="s">
        <v>60</v>
      </c>
      <c r="AB8" s="11"/>
      <c r="AC8" s="11"/>
      <c r="AD8" s="12"/>
      <c r="AM8" s="11" t="s">
        <v>61</v>
      </c>
    </row>
    <row r="9" customFormat="false" ht="12.75" hidden="false" customHeight="true" outlineLevel="0" collapsed="false">
      <c r="A9" s="22" t="s">
        <v>62</v>
      </c>
      <c r="B9" s="23" t="n">
        <v>0</v>
      </c>
      <c r="C9" s="24" t="s">
        <v>35</v>
      </c>
      <c r="D9" s="26" t="str">
        <f aca="false">IF(B9&lt;0,AA3,IF(B9&gt;254,AA17," "))</f>
        <v> </v>
      </c>
      <c r="E9" s="10" t="s">
        <v>63</v>
      </c>
      <c r="F9" s="26" t="n">
        <f aca="false">MIN(1400,MAX(800,F6*200+100))</f>
        <v>800</v>
      </c>
      <c r="G9" s="26" t="n">
        <f aca="false">IF(G8&gt;64,IF(S33&gt;G8-1024-S33,64,S33),0)</f>
        <v>128</v>
      </c>
      <c r="H9" s="12" t="s">
        <v>64</v>
      </c>
      <c r="I9" s="26" t="n">
        <f aca="false">MIN(MAX(INT(I10*0.1),64),800)</f>
        <v>64</v>
      </c>
      <c r="J9" s="11" t="s">
        <v>65</v>
      </c>
      <c r="K9" s="26" t="str">
        <f aca="false">IF(I9&gt;=800,AA2,"OK")</f>
        <v>OK</v>
      </c>
      <c r="L9" s="26" t="str">
        <f aca="false">IF(B35="Y","APPC","")</f>
        <v/>
      </c>
      <c r="M9" s="26" t="str">
        <f aca="false">IF(L9="APPC",0.4,"")</f>
        <v/>
      </c>
      <c r="P9" s="26" t="s">
        <v>66</v>
      </c>
      <c r="Q9" s="27" t="n">
        <v>4</v>
      </c>
      <c r="S9" s="26" t="n">
        <f aca="false">IF(B13&gt;0,2,0)</f>
        <v>0</v>
      </c>
      <c r="T9" s="11" t="s">
        <v>67</v>
      </c>
      <c r="Y9" s="12"/>
      <c r="AA9" s="10" t="s">
        <v>68</v>
      </c>
      <c r="AB9" s="11"/>
      <c r="AC9" s="11"/>
      <c r="AD9" s="12"/>
      <c r="AM9" s="11" t="s">
        <v>69</v>
      </c>
    </row>
    <row r="10" customFormat="false" ht="12.75" hidden="false" customHeight="true" outlineLevel="0" collapsed="false">
      <c r="A10" s="22" t="s">
        <v>70</v>
      </c>
      <c r="B10" s="28" t="n">
        <v>0</v>
      </c>
      <c r="C10" s="24" t="s">
        <v>71</v>
      </c>
      <c r="D10" s="26" t="str">
        <f aca="false">IF(B10&lt;0,AA3,IF(B10&gt;254,AA17," "))</f>
        <v> </v>
      </c>
      <c r="E10" s="10" t="s">
        <v>72</v>
      </c>
      <c r="F10" s="26" t="n">
        <f aca="false">MIN(30,F6*10)</f>
        <v>30</v>
      </c>
      <c r="G10" s="26" t="n">
        <f aca="false">IF(G8-G9-1024&gt;0,IF(G8-G9-1024&lt;7200,G8-G9-1024,7200),0)</f>
        <v>3164</v>
      </c>
      <c r="H10" s="12" t="s">
        <v>73</v>
      </c>
      <c r="I10" s="26" t="n">
        <f aca="false">MIN(MAX((B6-B7)*10+(B7*45)+(B8*55),64),8000)</f>
        <v>64</v>
      </c>
      <c r="J10" s="11" t="s">
        <v>74</v>
      </c>
      <c r="K10" s="26" t="str">
        <f aca="false">IF(I10&gt;=8000,AA2,"OK")</f>
        <v>OK</v>
      </c>
      <c r="L10" s="26" t="str">
        <f aca="false">IF(B37="Y","DBM Serv","")</f>
        <v/>
      </c>
      <c r="M10" s="26" t="str">
        <f aca="false">IF(B37="Y",1.5,"")</f>
        <v/>
      </c>
      <c r="P10" s="26" t="s">
        <v>75</v>
      </c>
      <c r="Q10" s="27" t="n">
        <v>6</v>
      </c>
      <c r="S10" s="26" t="n">
        <f aca="false">S4+S5+S6+S7+Q6</f>
        <v>1</v>
      </c>
      <c r="T10" s="11" t="s">
        <v>76</v>
      </c>
      <c r="Y10" s="12"/>
      <c r="AA10" s="10" t="s">
        <v>77</v>
      </c>
      <c r="AB10" s="11"/>
      <c r="AC10" s="11"/>
      <c r="AD10" s="12"/>
    </row>
    <row r="11" customFormat="false" ht="12.75" hidden="false" customHeight="true" outlineLevel="0" collapsed="false">
      <c r="A11" s="22" t="s">
        <v>78</v>
      </c>
      <c r="B11" s="23" t="n">
        <v>10</v>
      </c>
      <c r="C11" s="24" t="s">
        <v>79</v>
      </c>
      <c r="D11" s="26" t="str">
        <f aca="false">IF(B11&lt;0,AA3,IF(B11&lt;6,AA5,IF(B11&gt;254,AA17," ")))</f>
        <v> </v>
      </c>
      <c r="E11" s="10"/>
      <c r="F11" s="29"/>
      <c r="G11" s="26" t="n">
        <f aca="false">G8-G9-G10</f>
        <v>1024</v>
      </c>
      <c r="H11" s="12" t="s">
        <v>80</v>
      </c>
      <c r="I11" s="26" t="n">
        <f aca="false">MIN(MAX(I7*6+3*B7+4*B8,128),1024)</f>
        <v>192</v>
      </c>
      <c r="J11" s="11" t="s">
        <v>81</v>
      </c>
      <c r="K11" s="26" t="str">
        <f aca="false">IF(I11&gt;=1024,AA2,"OK")</f>
        <v>OK</v>
      </c>
      <c r="L11" s="26" t="str">
        <f aca="false">IF(B31="Y","LAN Mgr.","")</f>
        <v/>
      </c>
      <c r="M11" s="26" t="str">
        <f aca="false">IF(B31="Y",0.8,"")</f>
        <v/>
      </c>
      <c r="P11" s="26" t="s">
        <v>82</v>
      </c>
      <c r="Q11" s="27" t="n">
        <v>2</v>
      </c>
      <c r="S11" s="26" t="n">
        <f aca="false">IF(B27=" ",0,B27)</f>
        <v>0</v>
      </c>
      <c r="T11" s="11" t="s">
        <v>83</v>
      </c>
      <c r="Y11" s="12"/>
      <c r="AA11" s="10" t="s">
        <v>84</v>
      </c>
      <c r="AB11" s="11"/>
      <c r="AC11" s="11"/>
      <c r="AD11" s="12"/>
    </row>
    <row r="12" customFormat="false" ht="12.75" hidden="false" customHeight="true" outlineLevel="0" collapsed="false">
      <c r="A12" s="22" t="s">
        <v>85</v>
      </c>
      <c r="B12" s="23" t="s">
        <v>86</v>
      </c>
      <c r="C12" s="24" t="s">
        <v>87</v>
      </c>
      <c r="D12" s="26" t="str">
        <f aca="false">IF(B12&lt;&gt;"N",IF(B12&lt;&gt;"Y",AA13,""),"")</f>
        <v/>
      </c>
      <c r="E12" s="5" t="s">
        <v>88</v>
      </c>
      <c r="F12" s="16"/>
      <c r="G12" s="30" t="s">
        <v>26</v>
      </c>
      <c r="H12" s="7"/>
      <c r="I12" s="26" t="n">
        <f aca="false">MIN(MAX(I7*2,35),120)</f>
        <v>64</v>
      </c>
      <c r="J12" s="11" t="s">
        <v>89</v>
      </c>
      <c r="K12" s="26" t="str">
        <f aca="false">IF(I12&gt;=120,AA2,"OK")</f>
        <v>OK</v>
      </c>
      <c r="L12" s="11" t="s">
        <v>90</v>
      </c>
      <c r="M12" s="26" t="n">
        <f aca="false">SUM(M5:M11)</f>
        <v>4.2</v>
      </c>
      <c r="P12" s="26" t="s">
        <v>91</v>
      </c>
      <c r="Q12" s="27" t="n">
        <v>16</v>
      </c>
      <c r="S12" s="26" t="n">
        <f aca="false">IF(B28=" ",0,B28)+IF(B37="Y",IF(B39&lt;&gt;0,2+2*B39,0),0)</f>
        <v>0</v>
      </c>
      <c r="T12" s="11" t="s">
        <v>92</v>
      </c>
      <c r="Y12" s="12"/>
      <c r="AA12" s="10" t="s">
        <v>93</v>
      </c>
      <c r="AB12" s="11"/>
      <c r="AC12" s="11"/>
      <c r="AD12" s="12"/>
    </row>
    <row r="13" customFormat="false" ht="12.75" hidden="false" customHeight="true" outlineLevel="0" collapsed="false">
      <c r="A13" s="22" t="s">
        <v>94</v>
      </c>
      <c r="B13" s="23" t="n">
        <v>0</v>
      </c>
      <c r="C13" s="24" t="s">
        <v>45</v>
      </c>
      <c r="D13" s="26" t="str">
        <f aca="false">IF(B13&gt;254,AA17,IF(B13&gt;B6,AA6,IF(B13&lt;0,AA3," ")))</f>
        <v> </v>
      </c>
      <c r="E13" s="25" t="s">
        <v>95</v>
      </c>
      <c r="F13" s="29" t="s">
        <v>96</v>
      </c>
      <c r="H13" s="12"/>
      <c r="I13" s="26" t="n">
        <f aca="false">MIN(IF(S30=0,INT(I7/7)+S31*5,INT(I7/4)+S31*5),45)</f>
        <v>23</v>
      </c>
      <c r="J13" s="11" t="s">
        <v>97</v>
      </c>
      <c r="K13" s="26" t="str">
        <f aca="false">IF(I13&gt;=45,AA2,"OK")</f>
        <v>OK</v>
      </c>
      <c r="L13" s="11" t="s">
        <v>98</v>
      </c>
      <c r="M13" s="26" t="n">
        <f aca="false">INT((G7+G9+G10)/1024*10)/10</f>
        <v>5</v>
      </c>
      <c r="P13" s="26" t="s">
        <v>99</v>
      </c>
      <c r="Q13" s="27" t="n">
        <v>16</v>
      </c>
      <c r="S13" s="26" t="n">
        <f aca="false">IF(B29=" ",0,B29)+IF(B37="Y",IF(B39&lt;&gt;0,1+B39,0),0)</f>
        <v>0</v>
      </c>
      <c r="T13" s="11" t="s">
        <v>100</v>
      </c>
      <c r="Y13" s="12"/>
      <c r="AA13" s="10" t="s">
        <v>101</v>
      </c>
      <c r="AB13" s="11"/>
      <c r="AC13" s="11"/>
      <c r="AD13" s="12"/>
    </row>
    <row r="14" customFormat="false" ht="12.75" hidden="false" customHeight="true" outlineLevel="0" collapsed="false">
      <c r="A14" s="22" t="s">
        <v>102</v>
      </c>
      <c r="B14" s="23" t="n">
        <v>0</v>
      </c>
      <c r="C14" s="24" t="s">
        <v>103</v>
      </c>
      <c r="D14" s="26" t="str">
        <f aca="false">IF(B14&lt;0,AA3,IF(B14&gt;254,AA17," "))</f>
        <v> </v>
      </c>
      <c r="E14" s="11" t="s">
        <v>27</v>
      </c>
      <c r="F14" s="26" t="n">
        <f aca="false">MIN(IF(S9=2,I7+S11+S26+1,I7+S11+S26),254)</f>
        <v>32</v>
      </c>
      <c r="H14" s="12"/>
      <c r="I14" s="26" t="n">
        <f aca="false">Q21</f>
        <v>55</v>
      </c>
      <c r="J14" s="11" t="s">
        <v>104</v>
      </c>
      <c r="K14" s="26" t="str">
        <f aca="false">IF(I14&gt;=55,"OK")</f>
        <v>OK</v>
      </c>
      <c r="L14" s="10" t="s">
        <v>105</v>
      </c>
      <c r="M14" s="26" t="n">
        <f aca="false">+M12+M13</f>
        <v>9.2</v>
      </c>
      <c r="P14" s="26" t="s">
        <v>106</v>
      </c>
      <c r="Q14" s="27" t="n">
        <v>0</v>
      </c>
      <c r="S14" s="26" t="n">
        <f aca="false">IF(B30=" ",0,B30)+IF(B37="Y",IF(B39&lt;&gt;0,2+B39,0),0)</f>
        <v>0</v>
      </c>
      <c r="T14" s="11" t="s">
        <v>107</v>
      </c>
      <c r="Y14" s="12"/>
      <c r="AA14" s="10" t="s">
        <v>108</v>
      </c>
      <c r="AB14" s="11"/>
      <c r="AC14" s="11"/>
      <c r="AD14" s="12"/>
    </row>
    <row r="15" customFormat="false" ht="12.75" hidden="false" customHeight="true" outlineLevel="0" collapsed="false">
      <c r="A15" s="22" t="s">
        <v>109</v>
      </c>
      <c r="B15" s="23" t="s">
        <v>86</v>
      </c>
      <c r="C15" s="24" t="s">
        <v>87</v>
      </c>
      <c r="D15" s="26" t="str">
        <f aca="false">IF(B15&lt;&gt;"N",IF(B15&lt;&gt;"Y",AA13,""),"")</f>
        <v/>
      </c>
      <c r="E15" s="11" t="s">
        <v>110</v>
      </c>
      <c r="F15" s="26" t="n">
        <f aca="false">MIN(IF(S8=1,S32+3,S32),254)</f>
        <v>32</v>
      </c>
      <c r="H15" s="12"/>
      <c r="I15" s="26" t="n">
        <f aca="false">MAX(INT(I7*0.3),50)</f>
        <v>50</v>
      </c>
      <c r="J15" s="11" t="s">
        <v>111</v>
      </c>
      <c r="K15" s="26" t="str">
        <f aca="false">IF(I15&lt;50,0,"OK")</f>
        <v>OK</v>
      </c>
      <c r="L15" s="30"/>
      <c r="M15" s="7"/>
      <c r="P15" s="26" t="s">
        <v>112</v>
      </c>
      <c r="Q15" s="27" t="n">
        <v>1</v>
      </c>
      <c r="S15" s="26" t="n">
        <f aca="false">IF(B33="Y",1,IF(B35="Y",1,0))</f>
        <v>0</v>
      </c>
      <c r="T15" s="11" t="s">
        <v>113</v>
      </c>
      <c r="Y15" s="12"/>
      <c r="AA15" s="10" t="s">
        <v>114</v>
      </c>
      <c r="AD15" s="12"/>
    </row>
    <row r="16" customFormat="false" ht="12.75" hidden="false" customHeight="true" outlineLevel="0" collapsed="false">
      <c r="A16" s="22" t="s">
        <v>115</v>
      </c>
      <c r="B16" s="23" t="n">
        <v>0</v>
      </c>
      <c r="C16" s="24" t="s">
        <v>116</v>
      </c>
      <c r="D16" s="26" t="str">
        <f aca="false">IF(B16&lt;0,AA3,IF(B16&gt;254,AA17," "))</f>
        <v> </v>
      </c>
      <c r="E16" s="11" t="s">
        <v>117</v>
      </c>
      <c r="F16" s="26" t="n">
        <f aca="false">MIN(IF(S8=1,I5+S12+3,I5+S12),255)</f>
        <v>97</v>
      </c>
      <c r="H16" s="12"/>
      <c r="I16" s="26" t="str">
        <f aca="false">IF(S30=0,IF(B6&gt;60,"1111014011331210133","1111014111331210133"),IF(B6&gt;60,"1111014011331210133","1111014111331410133"))</f>
        <v>1111014111331410133</v>
      </c>
      <c r="J16" s="11" t="s">
        <v>118</v>
      </c>
      <c r="K16" s="12"/>
      <c r="P16" s="26" t="s">
        <v>119</v>
      </c>
      <c r="Q16" s="27" t="n">
        <v>3</v>
      </c>
      <c r="S16" s="26" t="n">
        <f aca="false">IF(B35="Y",1,0)</f>
        <v>0</v>
      </c>
      <c r="T16" s="11" t="s">
        <v>120</v>
      </c>
      <c r="Y16" s="12"/>
      <c r="AA16" s="10" t="s">
        <v>121</v>
      </c>
      <c r="AD16" s="12"/>
    </row>
    <row r="17" customFormat="false" ht="12.75" hidden="false" customHeight="true" outlineLevel="0" collapsed="false">
      <c r="A17" s="22" t="s">
        <v>122</v>
      </c>
      <c r="B17" s="23" t="s">
        <v>123</v>
      </c>
      <c r="C17" s="24" t="s">
        <v>87</v>
      </c>
      <c r="D17" s="26" t="str">
        <f aca="false">IF(B17&lt;&gt;"N",IF(B17&lt;&gt;"Y",AA13,""),"")</f>
        <v/>
      </c>
      <c r="E17" s="11" t="s">
        <v>124</v>
      </c>
      <c r="F17" s="26" t="n">
        <f aca="false">MIN(IF(S8=1,I6+S14+3,I6+S14+1),254)</f>
        <v>17</v>
      </c>
      <c r="H17" s="12"/>
      <c r="I17" s="26" t="n">
        <f aca="false">MAX(MIN(INT(I7/12),20),3)</f>
        <v>3</v>
      </c>
      <c r="J17" s="11" t="s">
        <v>125</v>
      </c>
      <c r="K17" s="26" t="str">
        <f aca="false">IF(I17&gt;=20,AA2,"OK")</f>
        <v>OK</v>
      </c>
      <c r="P17" s="26" t="s">
        <v>126</v>
      </c>
      <c r="Q17" s="27" t="n">
        <v>3</v>
      </c>
      <c r="S17" s="26" t="n">
        <f aca="false">IF(B37="Y",IF(B38&lt;&gt;0,IF(B38="",0,1),0),0)</f>
        <v>0</v>
      </c>
      <c r="T17" s="11" t="s">
        <v>127</v>
      </c>
      <c r="Y17" s="12"/>
      <c r="AA17" s="10" t="s">
        <v>128</v>
      </c>
      <c r="AD17" s="12"/>
    </row>
    <row r="18" customFormat="false" ht="12.75" hidden="false" customHeight="true" outlineLevel="0" collapsed="false">
      <c r="A18" s="22" t="s">
        <v>129</v>
      </c>
      <c r="B18" s="23" t="s">
        <v>123</v>
      </c>
      <c r="C18" s="24" t="s">
        <v>87</v>
      </c>
      <c r="D18" s="26" t="str">
        <f aca="false">IF(B18&lt;&gt;"N",IF(B18&lt;&gt;"Y",AA13,""),IF(F5&gt;64,AA27,IF(F5&gt;32,AA26,"")))</f>
        <v/>
      </c>
      <c r="E18" s="11" t="s">
        <v>130</v>
      </c>
      <c r="F18" s="26" t="n">
        <f aca="false">IF(I7&lt;155,I7,IF(I7&lt;200,80,IF(I7&lt;225,50,10)))</f>
        <v>32</v>
      </c>
      <c r="I18" s="26" t="n">
        <f aca="false">IF(S8&lt;&gt;0,IF(S9&lt;&gt;0,9,8),8)</f>
        <v>8</v>
      </c>
      <c r="J18" s="11" t="s">
        <v>131</v>
      </c>
      <c r="K18" s="26" t="str">
        <f aca="false">IF(I18&lt;10,"OK",AA2)</f>
        <v>OK</v>
      </c>
      <c r="P18" s="26" t="s">
        <v>132</v>
      </c>
      <c r="Q18" s="27" t="n">
        <v>3</v>
      </c>
      <c r="S18" s="26" t="n">
        <f aca="false">IF(B31="Y",1,0)</f>
        <v>0</v>
      </c>
      <c r="T18" s="11" t="s">
        <v>133</v>
      </c>
      <c r="Y18" s="12"/>
      <c r="AA18" s="10" t="s">
        <v>134</v>
      </c>
      <c r="AD18" s="12"/>
    </row>
    <row r="19" customFormat="false" ht="12.75" hidden="false" customHeight="true" outlineLevel="0" collapsed="false">
      <c r="A19" s="22" t="s">
        <v>135</v>
      </c>
      <c r="B19" s="23" t="s">
        <v>136</v>
      </c>
      <c r="C19" s="24" t="s">
        <v>137</v>
      </c>
      <c r="D19" s="26" t="str">
        <f aca="false">IF(B19&lt;&gt;"S",IF(B19&lt;&gt;"R",AA16,""),"")</f>
        <v/>
      </c>
      <c r="E19" s="9"/>
      <c r="F19" s="29"/>
      <c r="I19" s="26" t="str">
        <f aca="false">TEXT("NETBIOS","#######")&amp;TEXT(IF(F14&gt;=254,"  STATIONS",""),"##########")&amp;TEXT(IF(F15&gt;=254,"  SESSIONS",""),"##########")&amp;TEXT(IF(F16&gt;=255,"  COMMANDS",""),"##########")&amp;TEXT(IF(F17&gt;=254,"   NAMES",""),"#######")&amp;TEXT("  ","##")</f>
        <v>NETBIOS  </v>
      </c>
      <c r="K19" s="26" t="str">
        <f aca="false">IF(I19="NETBIOS  ","OK",AA2)</f>
        <v>OK</v>
      </c>
      <c r="P19" s="26" t="s">
        <v>138</v>
      </c>
      <c r="Q19" s="27" t="s">
        <v>96</v>
      </c>
      <c r="S19" s="26" t="n">
        <f aca="false">B40</f>
        <v>0</v>
      </c>
      <c r="T19" s="11" t="s">
        <v>139</v>
      </c>
      <c r="Y19" s="12"/>
      <c r="AA19" s="10" t="s">
        <v>140</v>
      </c>
      <c r="AD19" s="12"/>
    </row>
    <row r="20" customFormat="false" ht="12.75" hidden="false" customHeight="true" outlineLevel="0" collapsed="false">
      <c r="D20" s="12"/>
      <c r="E20" s="5" t="s">
        <v>141</v>
      </c>
      <c r="F20" s="16"/>
      <c r="I20" s="31"/>
      <c r="J20" s="6"/>
      <c r="K20" s="7"/>
      <c r="P20" s="26" t="s">
        <v>142</v>
      </c>
      <c r="Q20" s="27" t="s">
        <v>96</v>
      </c>
      <c r="S20" s="26" t="n">
        <f aca="false">+S9+S15+S17+S18+S19+Q14+2</f>
        <v>2</v>
      </c>
      <c r="T20" s="11" t="s">
        <v>143</v>
      </c>
      <c r="Y20" s="12"/>
      <c r="AA20" s="10" t="s">
        <v>144</v>
      </c>
      <c r="AD20" s="12"/>
    </row>
    <row r="21" customFormat="false" ht="12.75" hidden="false" customHeight="true" outlineLevel="0" collapsed="false">
      <c r="A21" s="32" t="s">
        <v>145</v>
      </c>
      <c r="B21" s="3"/>
      <c r="C21" s="3"/>
      <c r="D21" s="3"/>
      <c r="E21" s="26" t="str">
        <f aca="false">LEFT(V220,11)&amp;RIGHT(G10,4)&amp;RIGHT(V220,4)</f>
        <v>;DISKCACHE=3164,128</v>
      </c>
      <c r="F21" s="12"/>
      <c r="G21" s="24"/>
      <c r="I21" s="24"/>
      <c r="P21" s="26" t="s">
        <v>146</v>
      </c>
      <c r="Q21" s="27" t="n">
        <v>55</v>
      </c>
      <c r="S21" s="26" t="n">
        <f aca="false">IF(B18="Y",2,IF(F5&gt;48,1,2))</f>
        <v>2</v>
      </c>
      <c r="T21" s="11" t="s">
        <v>147</v>
      </c>
      <c r="Y21" s="12"/>
      <c r="AA21" s="10" t="s">
        <v>148</v>
      </c>
      <c r="AD21" s="12"/>
    </row>
    <row r="22" customFormat="false" ht="12.75" hidden="false" customHeight="true" outlineLevel="0" collapsed="false">
      <c r="D22" s="12"/>
      <c r="E22" s="26" t="str">
        <f aca="false">LEFT(V218,26)&amp;TEXT(G9,"###")</f>
        <v>;IFS=C:\OS2\HPFS.IFS   -C:128</v>
      </c>
      <c r="F22" s="29"/>
      <c r="G22" s="24"/>
      <c r="I22" s="24"/>
      <c r="P22" s="30"/>
      <c r="Q22" s="7"/>
      <c r="S22" s="26" t="n">
        <f aca="false">IF(B31="Y",IF(B32=" ",0,B32),0)</f>
        <v>0</v>
      </c>
      <c r="T22" s="11" t="s">
        <v>149</v>
      </c>
      <c r="Y22" s="12"/>
      <c r="AA22" s="10" t="s">
        <v>150</v>
      </c>
      <c r="AD22" s="12"/>
    </row>
    <row r="23" customFormat="false" ht="12.75" hidden="false" customHeight="true" outlineLevel="0" collapsed="false">
      <c r="A23" s="8" t="s">
        <v>151</v>
      </c>
      <c r="B23" s="3"/>
      <c r="C23" s="3"/>
      <c r="D23" s="12"/>
      <c r="E23" s="26" t="str">
        <f aca="false">RIGHT(V219,32)</f>
        <v>;RUN=C:\OS2\CACHE.EXE   /LAZY:ON</v>
      </c>
      <c r="F23" s="29"/>
      <c r="G23" s="24"/>
      <c r="I23" s="24"/>
      <c r="S23" s="26" t="n">
        <f aca="false">IF(B33="Y",IF(B34=" ",0,B34),0)</f>
        <v>0</v>
      </c>
      <c r="T23" s="11" t="s">
        <v>152</v>
      </c>
      <c r="Y23" s="12"/>
      <c r="AA23" s="10" t="s">
        <v>153</v>
      </c>
      <c r="AD23" s="12"/>
    </row>
    <row r="24" customFormat="false" ht="12.75" hidden="false" customHeight="true" outlineLevel="0" collapsed="false">
      <c r="A24" s="8" t="s">
        <v>3</v>
      </c>
      <c r="B24" s="5" t="s">
        <v>4</v>
      </c>
      <c r="C24" s="9"/>
      <c r="D24" s="5" t="s">
        <v>5</v>
      </c>
      <c r="E24" s="6"/>
      <c r="F24" s="7"/>
      <c r="G24" s="24" t="s">
        <v>26</v>
      </c>
      <c r="I24" s="24"/>
      <c r="S24" s="26" t="n">
        <f aca="false">IF(B35="Y",IF(B36=" ",0,B36),0)</f>
        <v>0</v>
      </c>
      <c r="T24" s="11" t="s">
        <v>154</v>
      </c>
      <c r="Y24" s="12"/>
      <c r="AA24" s="10" t="s">
        <v>155</v>
      </c>
      <c r="AD24" s="12"/>
    </row>
    <row r="25" customFormat="false" ht="12.75" hidden="false" customHeight="true" outlineLevel="0" collapsed="false">
      <c r="A25" s="11" t="s">
        <v>26</v>
      </c>
      <c r="D25" s="12"/>
      <c r="I25" s="24"/>
      <c r="S25" s="26" t="n">
        <f aca="false">IF(B37="Y",IF(B38=" ",0,INT(B38*1.33)+1),0)</f>
        <v>0</v>
      </c>
      <c r="T25" s="11" t="s">
        <v>156</v>
      </c>
      <c r="Y25" s="12"/>
      <c r="AA25" s="10" t="s">
        <v>157</v>
      </c>
      <c r="AD25" s="12"/>
    </row>
    <row r="26" customFormat="false" ht="12.75" hidden="false" customHeight="true" outlineLevel="0" collapsed="false">
      <c r="A26" s="22" t="s">
        <v>158</v>
      </c>
      <c r="B26" s="23" t="s">
        <v>159</v>
      </c>
      <c r="C26" s="24" t="s">
        <v>87</v>
      </c>
      <c r="D26" s="26" t="str">
        <f aca="false">IF(B26&lt;&gt;"N",IF(B26&lt;&gt;"Y",AA13,""),"")</f>
        <v/>
      </c>
      <c r="F26" s="12"/>
      <c r="I26" s="24"/>
      <c r="S26" s="26" t="n">
        <f aca="false">IF(B37="Y",IF(B39=" ",0,B39+1),0)</f>
        <v>0</v>
      </c>
      <c r="T26" s="11" t="s">
        <v>160</v>
      </c>
      <c r="Y26" s="12"/>
      <c r="AA26" s="10" t="s">
        <v>161</v>
      </c>
      <c r="AD26" s="12"/>
    </row>
    <row r="27" customFormat="false" ht="12.75" hidden="false" customHeight="true" outlineLevel="0" collapsed="false">
      <c r="A27" s="26" t="str">
        <f aca="false">IF(B26="Y"," ---  Number of Stations"," ")</f>
        <v> </v>
      </c>
      <c r="B27" s="23" t="s">
        <v>26</v>
      </c>
      <c r="C27" s="26" t="str">
        <f aca="false">IF(B26="Y","(Positive #)","")</f>
        <v/>
      </c>
      <c r="D27" s="26" t="str">
        <f aca="false">IF(A27=" ",IF(B27=" "," ",IF(B27=0," ",AA19)),IF(B27&lt;1,AA18,IF(B27&gt;254,AA17," ")))</f>
        <v> </v>
      </c>
      <c r="I27" s="24"/>
      <c r="S27" s="26" t="n">
        <f aca="false">IF(B40=" ",0,IF(B40&gt;0,IF(B41=" ",0,B41),0))</f>
        <v>0</v>
      </c>
      <c r="T27" s="11" t="s">
        <v>162</v>
      </c>
      <c r="Y27" s="12"/>
      <c r="AA27" s="10" t="s">
        <v>163</v>
      </c>
      <c r="AD27" s="12"/>
    </row>
    <row r="28" customFormat="false" ht="12.75" hidden="false" customHeight="true" outlineLevel="0" collapsed="false">
      <c r="A28" s="26" t="str">
        <f aca="false">IF(B26="Y"," ---  Number of Commands"," ")</f>
        <v> </v>
      </c>
      <c r="B28" s="23" t="s">
        <v>26</v>
      </c>
      <c r="C28" s="26" t="str">
        <f aca="false">IF(B26="Y","(Positive #)","")</f>
        <v/>
      </c>
      <c r="D28" s="26" t="str">
        <f aca="false">IF(A28=" ",IF(B28=" "," ",IF(B28=0," ",AA19)),IF(B28&lt;1,AA18,IF(B28&gt;254,AA17," ")))</f>
        <v> </v>
      </c>
      <c r="I28" s="24"/>
      <c r="S28" s="26" t="n">
        <f aca="false">SUM(S22:S27)+Q6+S11</f>
        <v>1</v>
      </c>
      <c r="T28" s="11" t="s">
        <v>164</v>
      </c>
      <c r="Y28" s="12"/>
      <c r="AA28" s="30"/>
      <c r="AB28" s="6"/>
      <c r="AC28" s="6"/>
      <c r="AD28" s="7"/>
    </row>
    <row r="29" customFormat="false" ht="12.75" hidden="false" customHeight="true" outlineLevel="0" collapsed="false">
      <c r="A29" s="26" t="str">
        <f aca="false">IF(B26="Y"," ---  Number of Sessions"," ")</f>
        <v> </v>
      </c>
      <c r="B29" s="23" t="s">
        <v>26</v>
      </c>
      <c r="C29" s="26" t="str">
        <f aca="false">IF(B26="Y","(Positive #)","")</f>
        <v/>
      </c>
      <c r="D29" s="26" t="str">
        <f aca="false">IF(A29=" ",IF(B29=" "," ",IF(B29=0," ",AA19)),IF(B29&lt;1,AA18,IF(B29&gt;254,AA17," ")))</f>
        <v> </v>
      </c>
      <c r="I29" s="24"/>
      <c r="S29" s="26" t="n">
        <f aca="false">1+S9+S15+S17+S18+S19</f>
        <v>1</v>
      </c>
      <c r="T29" s="11" t="s">
        <v>165</v>
      </c>
      <c r="Y29" s="12"/>
    </row>
    <row r="30" customFormat="false" ht="12.75" hidden="false" customHeight="true" outlineLevel="0" collapsed="false">
      <c r="A30" s="26" t="str">
        <f aca="false">IF(B26="Y"," ---  Number of Names"," ")</f>
        <v> </v>
      </c>
      <c r="B30" s="23" t="s">
        <v>26</v>
      </c>
      <c r="C30" s="26" t="str">
        <f aca="false">IF(B26="Y","(0 if none)","")</f>
        <v/>
      </c>
      <c r="D30" s="26" t="str">
        <f aca="false">IF(A30=" ",IF(B30=" "," ",IF(B30=0," ",AA19)),IF(B30&lt;0,AA3,IF(B30&gt;254,AA17," ")))</f>
        <v> </v>
      </c>
      <c r="I30" s="24"/>
      <c r="S30" s="26" t="n">
        <f aca="false">IF(B17="Y",1,IF(B19="S",1,0))</f>
        <v>1</v>
      </c>
      <c r="T30" s="11" t="s">
        <v>166</v>
      </c>
      <c r="Y30" s="12"/>
    </row>
    <row r="31" customFormat="false" ht="12.75" hidden="false" customHeight="true" outlineLevel="0" collapsed="false">
      <c r="A31" s="22" t="s">
        <v>167</v>
      </c>
      <c r="B31" s="23" t="s">
        <v>159</v>
      </c>
      <c r="C31" s="24" t="s">
        <v>87</v>
      </c>
      <c r="D31" s="26" t="str">
        <f aca="false">IF(B31&lt;&gt;"N",IF(B31&lt;&gt;"Y",AA13,""),"")</f>
        <v/>
      </c>
      <c r="I31" s="24"/>
      <c r="S31" s="26" t="n">
        <f aca="false">IF(B17="Y",3,1)</f>
        <v>3</v>
      </c>
      <c r="T31" s="11" t="s">
        <v>168</v>
      </c>
      <c r="Y31" s="12"/>
    </row>
    <row r="32" customFormat="false" ht="12.75" hidden="false" customHeight="true" outlineLevel="0" collapsed="false">
      <c r="A32" s="26" t="str">
        <f aca="false">IF(B31="Y"," ---  Number of Bridges","")</f>
        <v/>
      </c>
      <c r="B32" s="23" t="s">
        <v>26</v>
      </c>
      <c r="C32" s="26" t="str">
        <f aca="false">IF(B31="Y","(0 if none)","")</f>
        <v/>
      </c>
      <c r="D32" s="26" t="str">
        <f aca="false">IF(B31="Y",IF(B32=" ",AA17,IF(B32=0,AA18,IF(B32&lt;0,AA3,IF(B32&gt;254,AA17," ")))),IF(B32=" "," ",IF(B32=0," ",AA19)))</f>
        <v> </v>
      </c>
      <c r="E32" s="11" t="s">
        <v>26</v>
      </c>
      <c r="I32" s="24"/>
      <c r="S32" s="26" t="n">
        <f aca="false">I4+S13</f>
        <v>32</v>
      </c>
      <c r="T32" s="11" t="s">
        <v>169</v>
      </c>
      <c r="Y32" s="12"/>
    </row>
    <row r="33" customFormat="false" ht="12.75" hidden="false" customHeight="true" outlineLevel="0" collapsed="false">
      <c r="A33" s="22" t="s">
        <v>170</v>
      </c>
      <c r="B33" s="23" t="s">
        <v>159</v>
      </c>
      <c r="C33" s="24" t="s">
        <v>87</v>
      </c>
      <c r="D33" s="26" t="str">
        <f aca="false">IF(B33&lt;&gt;"N",IF(B33&lt;&gt;"Y",AA13,""),"")</f>
        <v/>
      </c>
      <c r="I33" s="24"/>
      <c r="S33" s="26" t="n">
        <f aca="false">IF(S30=0,256,IF(S31=3,128,IF(S9=2,128,64)))</f>
        <v>128</v>
      </c>
      <c r="T33" s="11" t="s">
        <v>171</v>
      </c>
      <c r="Y33" s="12"/>
    </row>
    <row r="34" customFormat="false" ht="12.75" hidden="false" customHeight="true" outlineLevel="0" collapsed="false">
      <c r="A34" s="26" t="str">
        <f aca="false">IF(B33="Y"," ---  Number of Workstations","")</f>
        <v/>
      </c>
      <c r="B34" s="23" t="s">
        <v>26</v>
      </c>
      <c r="C34" s="26" t="str">
        <f aca="false">IF(B33="Y","(Positive #)","")</f>
        <v/>
      </c>
      <c r="D34" s="26" t="str">
        <f aca="false">IF(B33="Y",IF(B34=" ",AA17,IF(B34=0,AA18,IF(B34&lt;0,AA3,IF(B34&gt;64,AA17," ")))),IF(B34=" "," ",IF(B34=0," ",AA19)))</f>
        <v> </v>
      </c>
      <c r="E34" s="11" t="s">
        <v>26</v>
      </c>
      <c r="I34" s="24"/>
      <c r="S34" s="26" t="n">
        <f aca="false">IF(K4="OK",IF(K5="OK",IF(K6="OK",IF(K7="OK",IF(K8="OK",IF(K9="OK",IF(K10="OK",IF(K11="OK",0,1))))))))</f>
        <v>0</v>
      </c>
      <c r="T34" s="11" t="s">
        <v>172</v>
      </c>
      <c r="Y34" s="12"/>
    </row>
    <row r="35" customFormat="false" ht="12.75" hidden="false" customHeight="true" outlineLevel="0" collapsed="false">
      <c r="A35" s="22" t="s">
        <v>173</v>
      </c>
      <c r="B35" s="23" t="s">
        <v>159</v>
      </c>
      <c r="C35" s="24" t="s">
        <v>87</v>
      </c>
      <c r="D35" s="26" t="str">
        <f aca="false">IF(B35&lt;&gt;"N",IF(B35&lt;&gt;"Y",AA13,""),IF(B33="Y","APPC Req'd for Gateway",IF(B37="Y","APPC Req'd for RDS","")))</f>
        <v/>
      </c>
      <c r="I35" s="24"/>
      <c r="S35" s="30"/>
      <c r="T35" s="6"/>
      <c r="U35" s="6"/>
      <c r="V35" s="6"/>
      <c r="W35" s="6"/>
      <c r="X35" s="6"/>
      <c r="Y35" s="7"/>
    </row>
    <row r="36" customFormat="false" ht="12.75" hidden="false" customHeight="true" outlineLevel="0" collapsed="false">
      <c r="A36" s="26" t="str">
        <f aca="false">IF(B35="Y"," ---   Wkstns for APPC Apps","")</f>
        <v/>
      </c>
      <c r="B36" s="23" t="s">
        <v>26</v>
      </c>
      <c r="C36" s="26" t="str">
        <f aca="false">IF(B35="Y","(Positive # )","")</f>
        <v/>
      </c>
      <c r="D36" s="26" t="str">
        <f aca="false">IF(B35="Y",IF(B36=" ",AA17,IF(B36=0,AA18,IF(B36&lt;0,AA3,IF(B36&gt;254,AA17," ")))),IF(B36=" "," ",IF(B36=0," ",AA19)))</f>
        <v> </v>
      </c>
      <c r="E36" s="11" t="s">
        <v>26</v>
      </c>
      <c r="I36" s="24"/>
    </row>
    <row r="37" customFormat="false" ht="12.75" hidden="false" customHeight="true" outlineLevel="0" collapsed="false">
      <c r="A37" s="22" t="s">
        <v>174</v>
      </c>
      <c r="B37" s="23" t="s">
        <v>159</v>
      </c>
      <c r="C37" s="24" t="s">
        <v>87</v>
      </c>
      <c r="D37" s="26" t="str">
        <f aca="false">IF(B37&lt;&gt;"N",IF(B37&lt;&gt;"Y",AA13,""),"")</f>
        <v/>
      </c>
      <c r="E37" s="11" t="s">
        <v>26</v>
      </c>
      <c r="I37" s="24"/>
    </row>
    <row r="38" customFormat="false" ht="12.75" hidden="false" customHeight="true" outlineLevel="0" collapsed="false">
      <c r="A38" s="26" t="str">
        <f aca="false">IF(B37="Y"," ---  Number of  OS/2   REQ","")</f>
        <v/>
      </c>
      <c r="B38" s="23" t="s">
        <v>26</v>
      </c>
      <c r="C38" s="26" t="str">
        <f aca="false">IF(B37="Y","(0 if none)","")</f>
        <v/>
      </c>
      <c r="D38" s="26" t="str">
        <f aca="false">IF(B37="Y",IF(B38=" ",AA17,IF(B38=0,IF(B39=0,AA18,""),IF(B38&lt;0,AA3,IF(B38&gt;254,AA17," ")))),IF(B38=" "," ",IF(B38=0," ",AA19)))</f>
        <v> </v>
      </c>
      <c r="I38" s="24"/>
    </row>
    <row r="39" customFormat="false" ht="12.75" hidden="false" customHeight="true" outlineLevel="0" collapsed="false">
      <c r="A39" s="26" t="str">
        <f aca="false">IF(B37="Y"," ---  Number of  DOS    REQ","")</f>
        <v/>
      </c>
      <c r="B39" s="23" t="s">
        <v>26</v>
      </c>
      <c r="C39" s="26" t="str">
        <f aca="false">IF(B37="Y","(0 if none)","")</f>
        <v/>
      </c>
      <c r="D39" s="26" t="str">
        <f aca="false">IF(B37="Y",IF(B39=" ",AA17,IF(B39=0,IF(B38=0,AA18,""),IF(B39&lt;0,AA3,IF(B39&gt;254,AA17,"")))),IF(B39=" "," ",IF(B39=0," ",AA19)))</f>
        <v> </v>
      </c>
    </row>
    <row r="40" customFormat="false" ht="12.75" hidden="false" customHeight="true" outlineLevel="0" collapsed="false">
      <c r="A40" s="22" t="s">
        <v>175</v>
      </c>
      <c r="B40" s="23" t="n">
        <v>0</v>
      </c>
      <c r="C40" s="24" t="s">
        <v>176</v>
      </c>
      <c r="D40" s="26" t="str">
        <f aca="false">IF(B40&lt;0,AA3,IF(B40&gt;0,IF(B40&gt;254,AA17," "),""))</f>
        <v/>
      </c>
    </row>
    <row r="41" customFormat="false" ht="12.75" hidden="false" customHeight="true" outlineLevel="0" collapsed="false">
      <c r="A41" s="26" t="str">
        <f aca="false">IF(B40&gt;0,IF(B40&lt;254," --- Stations Required",IF(B40&gt;254," "," "))," ")</f>
        <v> </v>
      </c>
      <c r="B41" s="23" t="s">
        <v>26</v>
      </c>
      <c r="C41" s="26" t="str">
        <f aca="false">IF(B40&gt;0,IF(B40&lt;254,"(Positive #)",""),"")</f>
        <v/>
      </c>
      <c r="D41" s="26" t="str">
        <f aca="false">IF(A41=" ",IF(B41=" ","",AA19),IF(B41&gt;0,IF(B41&lt;254,"",AA17),AA3))</f>
        <v/>
      </c>
    </row>
    <row r="42" customFormat="false" ht="12.75" hidden="false" customHeight="true" outlineLevel="0" collapsed="false">
      <c r="A42" s="22"/>
      <c r="B42" s="33"/>
      <c r="C42" s="24"/>
      <c r="D42" s="12"/>
    </row>
    <row r="43" customFormat="false" ht="12.75" hidden="false" customHeight="true" outlineLevel="0" collapsed="false">
      <c r="A43" s="32" t="s">
        <v>177</v>
      </c>
      <c r="B43" s="3"/>
      <c r="C43" s="6"/>
      <c r="D43" s="6"/>
      <c r="E43" s="30"/>
    </row>
    <row r="44" customFormat="false" ht="12.75" hidden="false" customHeight="true" outlineLevel="0" collapsed="false">
      <c r="A44" s="22"/>
      <c r="B44" s="33"/>
      <c r="C44" s="24"/>
      <c r="E44" s="12"/>
    </row>
    <row r="45" customFormat="false" ht="12.75" hidden="false" customHeight="true" outlineLevel="0" collapsed="false">
      <c r="A45" s="22"/>
      <c r="B45" s="33"/>
      <c r="C45" s="24"/>
      <c r="E45" s="12"/>
    </row>
    <row r="46" customFormat="false" ht="12.75" hidden="false" customHeight="true" outlineLevel="0" collapsed="false">
      <c r="A46" s="22"/>
      <c r="B46" s="33"/>
      <c r="C46" s="24"/>
      <c r="E46" s="12"/>
    </row>
    <row r="47" customFormat="false" ht="12.75" hidden="false" customHeight="true" outlineLevel="0" collapsed="false">
      <c r="A47" s="22"/>
      <c r="B47" s="33"/>
      <c r="C47" s="24"/>
      <c r="E47" s="12"/>
    </row>
    <row r="48" customFormat="false" ht="12.75" hidden="false" customHeight="true" outlineLevel="0" collapsed="false">
      <c r="A48" s="22"/>
      <c r="B48" s="33"/>
      <c r="C48" s="24"/>
      <c r="E48" s="12"/>
    </row>
    <row r="49" customFormat="false" ht="12.75" hidden="false" customHeight="true" outlineLevel="0" collapsed="false">
      <c r="A49" s="8" t="s">
        <v>178</v>
      </c>
      <c r="B49" s="26" t="str">
        <f aca="false">IF(F14&gt;=254,AA20,"OK")</f>
        <v>OK</v>
      </c>
      <c r="C49" s="24"/>
      <c r="E49" s="26" t="n">
        <f aca="false">F14</f>
        <v>32</v>
      </c>
    </row>
    <row r="50" customFormat="false" ht="12.75" hidden="false" customHeight="true" outlineLevel="0" collapsed="false">
      <c r="A50" s="8" t="s">
        <v>179</v>
      </c>
      <c r="B50" s="26" t="str">
        <f aca="false">IF(F15&gt;=254,AA21,"OK")</f>
        <v>OK</v>
      </c>
      <c r="E50" s="26" t="n">
        <f aca="false">F15</f>
        <v>32</v>
      </c>
    </row>
    <row r="51" customFormat="false" ht="12.75" hidden="false" customHeight="true" outlineLevel="0" collapsed="false">
      <c r="A51" s="8" t="s">
        <v>180</v>
      </c>
      <c r="B51" s="26" t="str">
        <f aca="false">IF(F16&gt;=255,AA22,"OK")</f>
        <v>OK</v>
      </c>
      <c r="E51" s="26" t="n">
        <f aca="false">F16</f>
        <v>97</v>
      </c>
    </row>
    <row r="52" customFormat="false" ht="12.75" hidden="false" customHeight="true" outlineLevel="0" collapsed="false">
      <c r="A52" s="8" t="s">
        <v>181</v>
      </c>
      <c r="B52" s="26" t="str">
        <f aca="false">IF(F17&gt;=254,AA24,"OK")</f>
        <v>OK</v>
      </c>
      <c r="E52" s="26" t="n">
        <f aca="false">F17</f>
        <v>17</v>
      </c>
      <c r="U52" s="11" t="s">
        <v>182</v>
      </c>
    </row>
    <row r="53" customFormat="false" ht="12.75" hidden="false" customHeight="true" outlineLevel="0" collapsed="false">
      <c r="A53" s="8" t="s">
        <v>183</v>
      </c>
      <c r="B53" s="26" t="str">
        <f aca="false">IF(G8=0,AA5,"OK")</f>
        <v>OK</v>
      </c>
      <c r="E53" s="26" t="n">
        <f aca="false">M14</f>
        <v>9.2</v>
      </c>
    </row>
    <row r="54" customFormat="false" ht="12.75" hidden="false" customHeight="true" outlineLevel="0" collapsed="false">
      <c r="A54" s="8" t="s">
        <v>184</v>
      </c>
      <c r="B54" s="26" t="str">
        <f aca="false">IF(((8288)+((F17+1)*22)+(F14*50)+(F15*52)+(F16*202)+(F18*66))&gt;(64*1024),AA8,"OK")</f>
        <v>OK</v>
      </c>
      <c r="E54" s="26" t="n">
        <f aca="false">((8288)+((F17+1)*22)+(F14*50)+(F15*52)+(F16*202)+(F18*66))</f>
        <v>33654</v>
      </c>
    </row>
    <row r="55" customFormat="false" ht="12.75" hidden="false" customHeight="true" outlineLevel="0" collapsed="false">
      <c r="A55" s="8" t="s">
        <v>185</v>
      </c>
      <c r="B55" s="26" t="str">
        <f aca="false">IF((IF(B18="Y",64,16)*1024)-(2100+64*F4+14*Q14+144*F5+S21*F7+IF(B18="Y",10,2.5*F7/1024)*1024)&lt;0,AA9,"OK")</f>
        <v>OK</v>
      </c>
      <c r="E55" s="26" t="n">
        <f aca="false">2100+64*F4+14*Q14+144*F5+S21*F7+IF(B18="y",10,2.5*F7/1024)*1024</f>
        <v>26212</v>
      </c>
    </row>
    <row r="56" customFormat="false" ht="12.75" hidden="false" customHeight="true" outlineLevel="0" collapsed="false">
      <c r="A56" s="8" t="s">
        <v>186</v>
      </c>
      <c r="B56" s="26" t="str">
        <f aca="false">IF(B18="N",IF((S4+S5+S28)&gt;64,AA23,"OK"),IF((S4+S5+S28)&gt;254,AA23,"OK"))</f>
        <v>OK</v>
      </c>
      <c r="E56" s="26" t="n">
        <f aca="false">S4+S5+S28</f>
        <v>1</v>
      </c>
    </row>
    <row r="57" customFormat="false" ht="12.75" hidden="false" customHeight="true" outlineLevel="0" collapsed="false">
      <c r="A57" s="8" t="s">
        <v>187</v>
      </c>
      <c r="B57" s="26" t="str">
        <f aca="false">IF(S29&gt;5,AA25,"OK")</f>
        <v>OK</v>
      </c>
      <c r="E57" s="26" t="n">
        <f aca="false">S29</f>
        <v>1</v>
      </c>
    </row>
    <row r="58" customFormat="false" ht="12.75" hidden="false" customHeight="true" outlineLevel="0" collapsed="false">
      <c r="A58" s="8" t="s">
        <v>188</v>
      </c>
      <c r="B58" s="26" t="str">
        <f aca="false">IF(K12="OK",IF(K13="OK",IF(K14="OK",IF(K15="OK",IF(K17="OK",IF(K18="OK",IF(K19="OK",IF(S34=0,"None",AA14),AA14),AA14),AA14),AA14),AA14),AA14),AA14)</f>
        <v>None</v>
      </c>
      <c r="E58" s="26" t="str">
        <f aca="false">TEXT(IF(F14&gt;=254,"  STATIONS",""),"##########")&amp;TEXT(IF(F15&gt;=254,"  SESSIONS",""),"##########")&amp;TEXT(IF(F16&gt;=255,"  COMMANDS",""),"##########")&amp;TEXT(IF(F17&gt;=254,"   NAMES",""),"#######")&amp;TEXT("  ","##")</f>
        <v>  </v>
      </c>
    </row>
    <row r="59" customFormat="false" ht="12.75" hidden="false" customHeight="true" outlineLevel="0" collapsed="false">
      <c r="A59" s="22"/>
      <c r="B59" s="11" t="s">
        <v>26</v>
      </c>
      <c r="D59" s="25"/>
      <c r="E59" s="12"/>
    </row>
    <row r="60" customFormat="false" ht="12.75" hidden="false" customHeight="true" outlineLevel="0" collapsed="false">
      <c r="A60" s="22"/>
      <c r="D60" s="25"/>
      <c r="E60" s="12"/>
    </row>
    <row r="61" customFormat="false" ht="12.75" hidden="false" customHeight="true" outlineLevel="0" collapsed="false">
      <c r="A61" s="22"/>
      <c r="D61" s="25"/>
      <c r="E61" s="12"/>
    </row>
    <row r="62" customFormat="false" ht="12.75" hidden="false" customHeight="true" outlineLevel="0" collapsed="false">
      <c r="A62" s="22"/>
      <c r="D62" s="25"/>
      <c r="E62" s="12"/>
    </row>
    <row r="63" customFormat="false" ht="12.75" hidden="false" customHeight="true" outlineLevel="0" collapsed="false">
      <c r="A63" s="34" t="s">
        <v>189</v>
      </c>
      <c r="B63" s="35"/>
      <c r="C63" s="35"/>
      <c r="D63" s="36"/>
      <c r="E63" s="35"/>
    </row>
    <row r="64" customFormat="false" ht="12.75" hidden="false" customHeight="true" outlineLevel="0" collapsed="false">
      <c r="A64" s="37" t="s">
        <v>190</v>
      </c>
      <c r="B64" s="38"/>
      <c r="C64" s="38"/>
      <c r="D64" s="39"/>
      <c r="E64" s="38"/>
    </row>
    <row r="65" customFormat="false" ht="12.75" hidden="false" customHeight="true" outlineLevel="0" collapsed="false">
      <c r="A65" s="22"/>
      <c r="D65" s="29"/>
    </row>
    <row r="66" customFormat="false" ht="12.75" hidden="false" customHeight="true" outlineLevel="0" collapsed="false">
      <c r="D66" s="12"/>
    </row>
    <row r="67" customFormat="false" ht="12.75" hidden="false" customHeight="true" outlineLevel="0" collapsed="false">
      <c r="A67" s="11" t="s">
        <v>26</v>
      </c>
      <c r="D67" s="12"/>
    </row>
    <row r="68" customFormat="false" ht="12.75" hidden="false" customHeight="true" outlineLevel="0" collapsed="false">
      <c r="A68" s="26" t="str">
        <f aca="false">IF(V69&lt;&gt;"",V69,"")</f>
        <v>; OS/2 LAN Server initialization file</v>
      </c>
      <c r="D68" s="12"/>
    </row>
    <row r="69" customFormat="false" ht="12.75" hidden="false" customHeight="true" outlineLevel="0" collapsed="false">
      <c r="A69" s="26" t="str">
        <f aca="false">IF(V70&lt;&gt;"",V70,"")</f>
        <v/>
      </c>
      <c r="D69" s="12"/>
      <c r="V69" s="11" t="s">
        <v>191</v>
      </c>
    </row>
    <row r="70" customFormat="false" ht="12.75" hidden="false" customHeight="true" outlineLevel="0" collapsed="false">
      <c r="A70" s="26" t="str">
        <f aca="false">IF(V71&lt;&gt;"",V71,"")</f>
        <v>[networks]</v>
      </c>
      <c r="D70" s="12"/>
    </row>
    <row r="71" customFormat="false" ht="12.75" hidden="false" customHeight="true" outlineLevel="0" collapsed="false">
      <c r="A71" s="26" t="str">
        <f aca="false">IF(V72&lt;&gt;"",V72,"")</f>
        <v>; This information is read by the redirector at device initialization time.</v>
      </c>
      <c r="D71" s="12"/>
      <c r="V71" s="11" t="s">
        <v>192</v>
      </c>
    </row>
    <row r="72" customFormat="false" ht="12.75" hidden="false" customHeight="true" outlineLevel="0" collapsed="false">
      <c r="A72" s="26" t="str">
        <f aca="false">IF(V73&lt;&gt;"",V73,"")</f>
        <v/>
      </c>
      <c r="D72" s="12"/>
      <c r="V72" s="11" t="s">
        <v>193</v>
      </c>
    </row>
    <row r="73" customFormat="false" ht="12.75" hidden="false" customHeight="true" outlineLevel="0" collapsed="false">
      <c r="A73" s="26" t="str">
        <f aca="false">LEFT(V74,27)&amp;TEXT(I4,"###")&amp;","&amp;TEXT(I5,"###")&amp;","&amp;TEXT(I6,"###")</f>
        <v>  net1 = netbios$, 0, NB30,32,97,16</v>
      </c>
      <c r="D73" s="12"/>
    </row>
    <row r="74" customFormat="false" ht="12.75" hidden="false" customHeight="true" outlineLevel="0" collapsed="false">
      <c r="A74" s="26" t="str">
        <f aca="false">IF(V75&lt;&gt;"",V75,"")</f>
        <v/>
      </c>
      <c r="D74" s="12"/>
      <c r="V74" s="11" t="s">
        <v>194</v>
      </c>
    </row>
    <row r="75" customFormat="false" ht="12.75" hidden="false" customHeight="true" outlineLevel="0" collapsed="false">
      <c r="A75" s="26" t="str">
        <f aca="false">IF(V76&lt;&gt;"",V76,"")</f>
        <v>[requester]</v>
      </c>
      <c r="D75" s="12"/>
    </row>
    <row r="76" customFormat="false" ht="12.75" hidden="false" customHeight="true" outlineLevel="0" collapsed="false">
      <c r="A76" s="26" t="str">
        <f aca="false">LEFT(V77,17)&amp;LEFT(B4,8)</f>
        <v>  COMPUTERNAME = SERVER01</v>
      </c>
      <c r="D76" s="12"/>
      <c r="V76" s="11" t="s">
        <v>195</v>
      </c>
    </row>
    <row r="77" customFormat="false" ht="12.75" hidden="false" customHeight="true" outlineLevel="0" collapsed="false">
      <c r="A77" s="26" t="str">
        <f aca="false">LEFT(V78,11)&amp;LEFT(B5,9)</f>
        <v>  DOMAIN = DOMAIN01</v>
      </c>
      <c r="D77" s="12"/>
      <c r="V77" s="11" t="s">
        <v>196</v>
      </c>
    </row>
    <row r="78" customFormat="false" ht="12.75" hidden="false" customHeight="true" outlineLevel="0" collapsed="false">
      <c r="A78" s="26" t="str">
        <f aca="false">IF(V79&lt;&gt;"",V79,"")</f>
        <v/>
      </c>
      <c r="D78" s="12"/>
      <c r="V78" s="11" t="s">
        <v>197</v>
      </c>
    </row>
    <row r="79" customFormat="false" ht="12.75" hidden="false" customHeight="true" outlineLevel="0" collapsed="false">
      <c r="A79" s="26" t="str">
        <f aca="false">IF(V80&lt;&gt;"",V80,"")</f>
        <v/>
      </c>
      <c r="D79" s="12"/>
    </row>
    <row r="80" customFormat="false" ht="12.75" hidden="false" customHeight="true" outlineLevel="0" collapsed="false">
      <c r="A80" s="26" t="str">
        <f aca="false">IF(V81&lt;&gt;"",V81,"")</f>
        <v>; The following parameters generally do not need to be</v>
      </c>
      <c r="D80" s="12"/>
    </row>
    <row r="81" customFormat="false" ht="12.75" hidden="false" customHeight="true" outlineLevel="0" collapsed="false">
      <c r="A81" s="26" t="str">
        <f aca="false">IF(V82&lt;&gt;"",V82,"")</f>
        <v>; changed by the user.</v>
      </c>
      <c r="D81" s="12"/>
      <c r="V81" s="11" t="s">
        <v>198</v>
      </c>
    </row>
    <row r="82" customFormat="false" ht="12.75" hidden="false" customHeight="true" outlineLevel="0" collapsed="false">
      <c r="A82" s="26" t="str">
        <f aca="false">IF(V83&lt;&gt;"",V83,"")</f>
        <v/>
      </c>
      <c r="D82" s="12"/>
      <c r="V82" s="11" t="s">
        <v>199</v>
      </c>
    </row>
    <row r="83" customFormat="false" ht="12.75" hidden="false" customHeight="true" outlineLevel="0" collapsed="false">
      <c r="A83" s="26" t="str">
        <f aca="false">IF(V84&lt;&gt;"",V84,"")</f>
        <v>  charcount = 16</v>
      </c>
      <c r="D83" s="12"/>
    </row>
    <row r="84" customFormat="false" ht="12.75" hidden="false" customHeight="true" outlineLevel="0" collapsed="false">
      <c r="A84" s="26" t="str">
        <f aca="false">IF(V85&lt;&gt;"",V85,"")</f>
        <v>  chartime = 250</v>
      </c>
      <c r="D84" s="12"/>
      <c r="V84" s="11" t="s">
        <v>200</v>
      </c>
    </row>
    <row r="85" customFormat="false" ht="12.75" hidden="false" customHeight="true" outlineLevel="0" collapsed="false">
      <c r="A85" s="26" t="str">
        <f aca="false">IF(V86&lt;&gt;"",V86,"")</f>
        <v>  charwait = 3600</v>
      </c>
      <c r="D85" s="12"/>
      <c r="V85" s="11" t="s">
        <v>201</v>
      </c>
    </row>
    <row r="86" customFormat="false" ht="12.75" hidden="false" customHeight="true" outlineLevel="0" collapsed="false">
      <c r="A86" s="26" t="str">
        <f aca="false">IF(V87&lt;&gt;"",V87,"")</f>
        <v>  keepconn = 600</v>
      </c>
      <c r="D86" s="12"/>
      <c r="V86" s="11" t="s">
        <v>202</v>
      </c>
    </row>
    <row r="87" customFormat="false" ht="12.75" hidden="false" customHeight="true" outlineLevel="0" collapsed="false">
      <c r="A87" s="26" t="str">
        <f aca="false">IF(V88&lt;&gt;"",V88,"")</f>
        <v>  keepsearch = 600</v>
      </c>
      <c r="D87" s="12"/>
      <c r="V87" s="11" t="s">
        <v>203</v>
      </c>
    </row>
    <row r="88" customFormat="false" ht="12.75" hidden="false" customHeight="true" outlineLevel="0" collapsed="false">
      <c r="A88" s="26" t="str">
        <f aca="false">IF(V89&lt;&gt;"",V89,"")</f>
        <v>  maxcmds = 32</v>
      </c>
      <c r="D88" s="12"/>
      <c r="V88" s="11" t="s">
        <v>204</v>
      </c>
    </row>
    <row r="89" customFormat="false" ht="12.75" hidden="false" customHeight="true" outlineLevel="0" collapsed="false">
      <c r="A89" s="26" t="str">
        <f aca="false">IF(V90&lt;&gt;"",V90,"")</f>
        <v>  maxerrorlog = 100</v>
      </c>
      <c r="D89" s="12"/>
      <c r="V89" s="11" t="s">
        <v>205</v>
      </c>
    </row>
    <row r="90" customFormat="false" ht="12.75" hidden="false" customHeight="true" outlineLevel="0" collapsed="false">
      <c r="A90" s="26" t="str">
        <f aca="false">IF(V91&lt;&gt;"",V91,"")</f>
        <v>  maxthreads = 20</v>
      </c>
      <c r="D90" s="12"/>
      <c r="V90" s="11" t="s">
        <v>206</v>
      </c>
    </row>
    <row r="91" customFormat="false" ht="12.75" hidden="false" customHeight="true" outlineLevel="0" collapsed="false">
      <c r="A91" s="26" t="str">
        <f aca="false">IF(V92&lt;&gt;"",V92,"")</f>
        <v>  maxwrkcache = 64</v>
      </c>
      <c r="D91" s="12"/>
      <c r="V91" s="11" t="s">
        <v>207</v>
      </c>
    </row>
    <row r="92" customFormat="false" ht="12.75" hidden="false" customHeight="true" outlineLevel="0" collapsed="false">
      <c r="A92" s="26" t="str">
        <f aca="false">IF(V93&lt;&gt;"",V93,"")</f>
        <v>  numalerts = 12</v>
      </c>
      <c r="D92" s="12"/>
      <c r="V92" s="11" t="s">
        <v>208</v>
      </c>
    </row>
    <row r="93" customFormat="false" ht="12.75" hidden="false" customHeight="true" outlineLevel="0" collapsed="false">
      <c r="A93" s="26" t="str">
        <f aca="false">IF(V94&lt;&gt;"",V94,"")</f>
        <v>  numcharbuf = 10</v>
      </c>
      <c r="D93" s="12"/>
      <c r="V93" s="11" t="s">
        <v>209</v>
      </c>
    </row>
    <row r="94" customFormat="false" ht="12.75" hidden="false" customHeight="true" outlineLevel="0" collapsed="false">
      <c r="A94" s="26" t="str">
        <f aca="false">LEFT(V95,16)&amp;TEXT(I18,"#")</f>
        <v>  numservices = 8</v>
      </c>
      <c r="D94" s="12"/>
      <c r="V94" s="11" t="s">
        <v>210</v>
      </c>
    </row>
    <row r="95" customFormat="false" ht="12.75" hidden="false" customHeight="true" outlineLevel="0" collapsed="false">
      <c r="A95" s="26" t="str">
        <f aca="false">IF(V96&lt;&gt;"",V96,"")</f>
        <v>  numworkbuf = 15</v>
      </c>
      <c r="D95" s="12"/>
      <c r="V95" s="11" t="s">
        <v>211</v>
      </c>
    </row>
    <row r="96" customFormat="false" ht="12.75" hidden="false" customHeight="true" outlineLevel="0" collapsed="false">
      <c r="A96" s="26" t="str">
        <f aca="false">IF(V97&lt;&gt;"",V97,"")</f>
        <v>  numdgrambuf = 14</v>
      </c>
      <c r="D96" s="12"/>
      <c r="V96" s="11" t="s">
        <v>212</v>
      </c>
    </row>
    <row r="97" customFormat="false" ht="12.75" hidden="false" customHeight="true" outlineLevel="0" collapsed="false">
      <c r="A97" s="26" t="str">
        <f aca="false">IF(V98&lt;&gt;"",V98,"")</f>
        <v>  printbuftime = 90</v>
      </c>
      <c r="D97" s="12"/>
      <c r="V97" s="11" t="s">
        <v>213</v>
      </c>
    </row>
    <row r="98" customFormat="false" ht="12.75" hidden="false" customHeight="true" outlineLevel="0" collapsed="false">
      <c r="A98" s="26" t="str">
        <f aca="false">IF(V99&lt;&gt;"",V99,"")</f>
        <v>  sesstimeout = 45</v>
      </c>
      <c r="D98" s="12"/>
      <c r="V98" s="11" t="s">
        <v>214</v>
      </c>
    </row>
    <row r="99" customFormat="false" ht="12.75" hidden="false" customHeight="true" outlineLevel="0" collapsed="false">
      <c r="A99" s="26" t="str">
        <f aca="false">IF(V100&lt;&gt;"",V100,"")</f>
        <v>  sizcharbuf  = 512</v>
      </c>
      <c r="D99" s="12"/>
      <c r="V99" s="11" t="s">
        <v>215</v>
      </c>
    </row>
    <row r="100" customFormat="false" ht="12.75" hidden="false" customHeight="true" outlineLevel="0" collapsed="false">
      <c r="A100" s="26" t="str">
        <f aca="false">IF(V101&lt;&gt;"",V101,"")</f>
        <v>  sizerror = 1024</v>
      </c>
      <c r="D100" s="12"/>
      <c r="V100" s="11" t="s">
        <v>216</v>
      </c>
    </row>
    <row r="101" customFormat="false" ht="12.75" hidden="false" customHeight="true" outlineLevel="0" collapsed="false">
      <c r="A101" s="26" t="str">
        <f aca="false">IF(V102&lt;&gt;"",V102,"")</f>
        <v>  sizworkbuf = 4096</v>
      </c>
      <c r="D101" s="12"/>
      <c r="V101" s="11" t="s">
        <v>217</v>
      </c>
    </row>
    <row r="102" customFormat="false" ht="12.75" hidden="false" customHeight="true" outlineLevel="0" collapsed="false">
      <c r="A102" s="26" t="str">
        <f aca="false">IF(V103&lt;&gt;"",V103,"")</f>
        <v/>
      </c>
      <c r="D102" s="12"/>
      <c r="V102" s="11" t="s">
        <v>218</v>
      </c>
    </row>
    <row r="103" customFormat="false" ht="12.75" hidden="false" customHeight="true" outlineLevel="0" collapsed="false">
      <c r="A103" s="26" t="str">
        <f aca="false">IF(V104&lt;&gt;"",V104,"")</f>
        <v>; The next lines help you to locate bits in the wrkheuristics entry.</v>
      </c>
      <c r="D103" s="12"/>
    </row>
    <row r="104" customFormat="false" ht="12.75" hidden="false" customHeight="true" outlineLevel="0" collapsed="false">
      <c r="A104" s="26" t="str">
        <f aca="false">IF(V105&lt;&gt;"",V105,"")</f>
        <v>;                                                      1                     2                     3</v>
      </c>
      <c r="D104" s="12"/>
      <c r="V104" s="11" t="s">
        <v>219</v>
      </c>
    </row>
    <row r="105" customFormat="false" ht="12.75" hidden="false" customHeight="true" outlineLevel="0" collapsed="false">
      <c r="A105" s="26" t="str">
        <f aca="false">IF(V106&lt;&gt;"",V106,"")</f>
        <v>;                               012345678901234567890123456789012</v>
      </c>
      <c r="D105" s="12"/>
      <c r="V105" s="11" t="s">
        <v>220</v>
      </c>
    </row>
    <row r="106" customFormat="false" ht="12.75" hidden="false" customHeight="true" outlineLevel="0" collapsed="false">
      <c r="A106" s="26" t="str">
        <f aca="false">IF(V107&lt;&gt;"",V107,"")</f>
        <v>  wrkheuristics = 111111111131111111000101112011102</v>
      </c>
      <c r="D106" s="12"/>
      <c r="V106" s="11" t="s">
        <v>221</v>
      </c>
    </row>
    <row r="107" customFormat="false" ht="12.75" hidden="false" customHeight="true" outlineLevel="0" collapsed="false">
      <c r="A107" s="26" t="str">
        <f aca="false">IF(V108&lt;&gt;"",V108,"")</f>
        <v/>
      </c>
      <c r="D107" s="12"/>
      <c r="V107" s="11" t="s">
        <v>222</v>
      </c>
    </row>
    <row r="108" customFormat="false" ht="12.75" hidden="false" customHeight="true" outlineLevel="0" collapsed="false">
      <c r="A108" s="26" t="str">
        <f aca="false">IF(V109&lt;&gt;"",V109,"")</f>
        <v>  wrknets = net1</v>
      </c>
      <c r="D108" s="12"/>
    </row>
    <row r="109" customFormat="false" ht="12.75" hidden="false" customHeight="true" outlineLevel="0" collapsed="false">
      <c r="A109" s="26" t="str">
        <f aca="false">IF(V110&lt;&gt;"",V110,"")</f>
        <v>  WRKSERVICES = MESSENGER,NETPOPUP</v>
      </c>
      <c r="D109" s="12"/>
      <c r="V109" s="11" t="s">
        <v>223</v>
      </c>
    </row>
    <row r="110" customFormat="false" ht="12.75" hidden="false" customHeight="true" outlineLevel="0" collapsed="false">
      <c r="A110" s="26" t="str">
        <f aca="false">IF(V111&lt;&gt;"",V111,"")</f>
        <v/>
      </c>
      <c r="D110" s="12"/>
      <c r="V110" s="11" t="s">
        <v>224</v>
      </c>
    </row>
    <row r="111" customFormat="false" ht="12.75" hidden="false" customHeight="true" outlineLevel="0" collapsed="false">
      <c r="A111" s="26" t="str">
        <f aca="false">IF(V112&lt;&gt;"",V112,"")</f>
        <v>[messenger]</v>
      </c>
      <c r="D111" s="12"/>
    </row>
    <row r="112" customFormat="false" ht="12.75" hidden="false" customHeight="true" outlineLevel="0" collapsed="false">
      <c r="A112" s="26" t="str">
        <f aca="false">IF(V113&lt;&gt;"",V113,"")</f>
        <v>  logfile = messages.log</v>
      </c>
      <c r="D112" s="12"/>
      <c r="V112" s="11" t="s">
        <v>225</v>
      </c>
    </row>
    <row r="113" customFormat="false" ht="12.75" hidden="false" customHeight="true" outlineLevel="0" collapsed="false">
      <c r="A113" s="26" t="str">
        <f aca="false">IF(V114&lt;&gt;"",V114,"")</f>
        <v>  sizmessbuf = 4096</v>
      </c>
      <c r="D113" s="12"/>
      <c r="V113" s="11" t="s">
        <v>226</v>
      </c>
    </row>
    <row r="114" customFormat="false" ht="12.75" hidden="false" customHeight="true" outlineLevel="0" collapsed="false">
      <c r="A114" s="26" t="str">
        <f aca="false">IF(V115&lt;&gt;"",V115,"")</f>
        <v/>
      </c>
      <c r="D114" s="12"/>
      <c r="V114" s="11" t="s">
        <v>227</v>
      </c>
    </row>
    <row r="115" customFormat="false" ht="12.75" hidden="false" customHeight="true" outlineLevel="0" collapsed="false">
      <c r="A115" s="26" t="str">
        <f aca="false">IF(V116&lt;&gt;"",V116,"")</f>
        <v>[netlogon]</v>
      </c>
      <c r="D115" s="12"/>
    </row>
    <row r="116" customFormat="false" ht="12.75" hidden="false" customHeight="true" outlineLevel="0" collapsed="false">
      <c r="A116" s="26" t="str">
        <f aca="false">IF(V117&lt;&gt;"",V117,"")</f>
        <v>  SCRIPTS = C:\IBMLAN\REPL\IMPORT\SCRIPTS</v>
      </c>
      <c r="D116" s="12"/>
      <c r="V116" s="11" t="s">
        <v>228</v>
      </c>
    </row>
    <row r="117" customFormat="false" ht="12.75" hidden="false" customHeight="true" outlineLevel="0" collapsed="false">
      <c r="A117" s="26" t="str">
        <f aca="false">IF(V118&lt;&gt;"",V118,"")</f>
        <v>   pulse = 60</v>
      </c>
      <c r="D117" s="12"/>
      <c r="V117" s="11" t="s">
        <v>229</v>
      </c>
    </row>
    <row r="118" customFormat="false" ht="12.75" hidden="false" customHeight="true" outlineLevel="0" collapsed="false">
      <c r="A118" s="26" t="str">
        <f aca="false">IF(V119&lt;&gt;"",V119,"")</f>
        <v>   update = yes</v>
      </c>
      <c r="D118" s="12"/>
      <c r="V118" s="11" t="s">
        <v>230</v>
      </c>
    </row>
    <row r="119" customFormat="false" ht="12.75" hidden="false" customHeight="true" outlineLevel="0" collapsed="false">
      <c r="A119" s="26" t="str">
        <f aca="false">IF(V120&lt;&gt;"",V120,"")</f>
        <v/>
      </c>
      <c r="D119" s="12"/>
      <c r="V119" s="11" t="s">
        <v>231</v>
      </c>
    </row>
    <row r="120" customFormat="false" ht="12.75" hidden="false" customHeight="true" outlineLevel="0" collapsed="false">
      <c r="A120" s="26" t="str">
        <f aca="false">IF(V121&lt;&gt;"",V121,"")</f>
        <v>[replicator]</v>
      </c>
      <c r="D120" s="12"/>
    </row>
    <row r="121" customFormat="false" ht="12.75" hidden="false" customHeight="true" outlineLevel="0" collapsed="false">
      <c r="A121" s="26" t="str">
        <f aca="false">IF(V122&lt;&gt;"",V122,"")</f>
        <v>  replicate = IMPORT</v>
      </c>
      <c r="D121" s="12"/>
      <c r="V121" s="11" t="s">
        <v>232</v>
      </c>
    </row>
    <row r="122" customFormat="false" ht="12.75" hidden="false" customHeight="true" outlineLevel="0" collapsed="false">
      <c r="A122" s="26" t="str">
        <f aca="false">IF(V123&lt;&gt;"",V123,"")</f>
        <v>  importpath = C:\IBMLAN\REPL\IMPORT</v>
      </c>
      <c r="D122" s="12"/>
      <c r="V122" s="11" t="s">
        <v>233</v>
      </c>
    </row>
    <row r="123" customFormat="false" ht="12.75" hidden="false" customHeight="true" outlineLevel="0" collapsed="false">
      <c r="A123" s="26" t="str">
        <f aca="false">IF(V124&lt;&gt;"",V124,"")</f>
        <v>  exportpath = C:\IBMLAN\REPL\EXPORT</v>
      </c>
      <c r="D123" s="12"/>
      <c r="V123" s="11" t="s">
        <v>234</v>
      </c>
    </row>
    <row r="124" customFormat="false" ht="12.75" hidden="false" customHeight="true" outlineLevel="0" collapsed="false">
      <c r="A124" s="26" t="str">
        <f aca="false">IF(V125&lt;&gt;"",V125,"")</f>
        <v>  tryuser = yes</v>
      </c>
      <c r="D124" s="12"/>
      <c r="V124" s="11" t="s">
        <v>235</v>
      </c>
    </row>
    <row r="125" customFormat="false" ht="12.75" hidden="false" customHeight="true" outlineLevel="0" collapsed="false">
      <c r="A125" s="26" t="str">
        <f aca="false">IF(V126&lt;&gt;"",V126,"")</f>
        <v>  password =</v>
      </c>
      <c r="D125" s="12"/>
      <c r="V125" s="11" t="s">
        <v>236</v>
      </c>
    </row>
    <row r="126" customFormat="false" ht="12.75" hidden="false" customHeight="true" outlineLevel="0" collapsed="false">
      <c r="A126" s="26" t="str">
        <f aca="false">IF(V127&lt;&gt;"",V127,"")</f>
        <v>  interval = 5</v>
      </c>
      <c r="D126" s="12"/>
      <c r="V126" s="11" t="s">
        <v>237</v>
      </c>
    </row>
    <row r="127" customFormat="false" ht="12.75" hidden="false" customHeight="true" outlineLevel="0" collapsed="false">
      <c r="A127" s="26" t="str">
        <f aca="false">IF(V128&lt;&gt;"",V128,"")</f>
        <v>  guardtime = 2</v>
      </c>
      <c r="D127" s="12"/>
      <c r="V127" s="11" t="s">
        <v>238</v>
      </c>
    </row>
    <row r="128" customFormat="false" ht="12.75" hidden="false" customHeight="true" outlineLevel="0" collapsed="false">
      <c r="A128" s="26" t="str">
        <f aca="false">IF(V129&lt;&gt;"",V129,"")</f>
        <v>  pulse = 3</v>
      </c>
      <c r="D128" s="12"/>
      <c r="V128" s="11" t="s">
        <v>239</v>
      </c>
    </row>
    <row r="129" customFormat="false" ht="12.75" hidden="false" customHeight="true" outlineLevel="0" collapsed="false">
      <c r="A129" s="26" t="str">
        <f aca="false">IF(V130&lt;&gt;"",V130,"")</f>
        <v>  random = 60</v>
      </c>
      <c r="D129" s="12"/>
      <c r="V129" s="11" t="s">
        <v>240</v>
      </c>
    </row>
    <row r="130" customFormat="false" ht="12.75" hidden="false" customHeight="true" outlineLevel="0" collapsed="false">
      <c r="A130" s="26" t="str">
        <f aca="false">IF(V131&lt;&gt;"",V131,"")</f>
        <v/>
      </c>
      <c r="D130" s="12"/>
      <c r="V130" s="11" t="s">
        <v>241</v>
      </c>
    </row>
    <row r="131" customFormat="false" ht="12.75" hidden="false" customHeight="true" outlineLevel="0" collapsed="false">
      <c r="A131" s="26" t="str">
        <f aca="false">IF(V132&lt;&gt;"",V132,"")</f>
        <v>[server]</v>
      </c>
      <c r="D131" s="12"/>
    </row>
    <row r="132" customFormat="false" ht="12.75" hidden="false" customHeight="true" outlineLevel="0" collapsed="false">
      <c r="A132" s="26" t="str">
        <f aca="false">IF(V133&lt;&gt;"",V133,"")</f>
        <v>  alertnames =</v>
      </c>
      <c r="D132" s="12"/>
      <c r="V132" s="11" t="s">
        <v>242</v>
      </c>
    </row>
    <row r="133" customFormat="false" ht="12.75" hidden="false" customHeight="true" outlineLevel="0" collapsed="false">
      <c r="A133" s="26" t="str">
        <f aca="false">IF(V134&lt;&gt;"",V134,"")</f>
        <v>  auditing = yes</v>
      </c>
      <c r="D133" s="12"/>
      <c r="V133" s="11" t="s">
        <v>243</v>
      </c>
    </row>
    <row r="134" customFormat="false" ht="12.75" hidden="false" customHeight="true" outlineLevel="0" collapsed="false">
      <c r="A134" s="26" t="str">
        <f aca="false">IF(V135&lt;&gt;"",V135,"")</f>
        <v>  autodisconnect = 120</v>
      </c>
      <c r="D134" s="12"/>
      <c r="V134" s="11" t="s">
        <v>244</v>
      </c>
    </row>
    <row r="135" customFormat="false" ht="12.75" hidden="false" customHeight="true" outlineLevel="0" collapsed="false">
      <c r="A135" s="26" t="str">
        <f aca="false">IF(V136&lt;&gt;"",V136,"")</f>
        <v>  cleanup = no</v>
      </c>
      <c r="D135" s="12"/>
      <c r="V135" s="11" t="s">
        <v>245</v>
      </c>
    </row>
    <row r="136" customFormat="false" ht="12.75" hidden="false" customHeight="true" outlineLevel="0" collapsed="false">
      <c r="A136" s="26" t="str">
        <f aca="false">LEFT(V137,13)&amp;TEXT(I7,"###")</f>
        <v>  maxusers = 32</v>
      </c>
      <c r="D136" s="12"/>
      <c r="V136" s="11" t="s">
        <v>246</v>
      </c>
    </row>
    <row r="137" customFormat="false" ht="12.75" hidden="false" customHeight="true" outlineLevel="0" collapsed="false">
      <c r="A137" s="26" t="str">
        <f aca="false">IF(V138&lt;&gt;"",V138,"")</f>
        <v/>
      </c>
      <c r="D137" s="12"/>
      <c r="V137" s="11" t="s">
        <v>247</v>
      </c>
    </row>
    <row r="138" customFormat="false" ht="12.75" hidden="false" customHeight="true" outlineLevel="0" collapsed="false">
      <c r="A138" s="26" t="str">
        <f aca="false">IF(V139&lt;&gt;"",V139,"")</f>
        <v>; The following parameters generally do not need to be</v>
      </c>
      <c r="D138" s="12"/>
    </row>
    <row r="139" customFormat="false" ht="12.75" hidden="false" customHeight="true" outlineLevel="0" collapsed="false">
      <c r="A139" s="26" t="str">
        <f aca="false">IF(V140&lt;&gt;"",V140,"")</f>
        <v>; changed by the user.  NOTE:  srvnets= is represented in</v>
      </c>
      <c r="D139" s="12"/>
      <c r="V139" s="11" t="s">
        <v>198</v>
      </c>
    </row>
    <row r="140" customFormat="false" ht="12.75" hidden="false" customHeight="true" outlineLevel="0" collapsed="false">
      <c r="A140" s="26" t="str">
        <f aca="false">IF(V141&lt;&gt;"",V141,"")</f>
        <v>; the server info struct as a 16-bit lan mask.  Srvnet names</v>
      </c>
      <c r="D140" s="12"/>
      <c r="V140" s="11" t="s">
        <v>248</v>
      </c>
    </row>
    <row r="141" customFormat="false" ht="12.75" hidden="false" customHeight="true" outlineLevel="0" collapsed="false">
      <c r="A141" s="26" t="str">
        <f aca="false">IF(V142&lt;&gt;"",V142,"")</f>
        <v>; are converted to indexes within [networks] for the named nets.</v>
      </c>
      <c r="D141" s="12"/>
      <c r="V141" s="11" t="s">
        <v>249</v>
      </c>
    </row>
    <row r="142" customFormat="false" ht="12.75" hidden="false" customHeight="true" outlineLevel="0" collapsed="false">
      <c r="A142" s="26" t="str">
        <f aca="false">IF(V143&lt;&gt;"",V143,"")</f>
        <v/>
      </c>
      <c r="D142" s="12"/>
      <c r="V142" s="11" t="s">
        <v>250</v>
      </c>
    </row>
    <row r="143" customFormat="false" ht="12.75" hidden="false" customHeight="true" outlineLevel="0" collapsed="false">
      <c r="A143" s="26" t="str">
        <f aca="false">IF(V144&lt;&gt;"",V144,"")</f>
        <v>  guestacct = guest</v>
      </c>
      <c r="D143" s="12"/>
    </row>
    <row r="144" customFormat="false" ht="12.75" hidden="false" customHeight="true" outlineLevel="0" collapsed="false">
      <c r="A144" s="26" t="str">
        <f aca="false">IF(V145&lt;&gt;"",V145,"")</f>
        <v>  accessalert = 5</v>
      </c>
      <c r="D144" s="12"/>
      <c r="V144" s="11" t="s">
        <v>251</v>
      </c>
    </row>
    <row r="145" customFormat="false" ht="12.75" hidden="false" customHeight="true" outlineLevel="0" collapsed="false">
      <c r="A145" s="26" t="str">
        <f aca="false">IF(V146&lt;&gt;"",V146,"")</f>
        <v>  alertsched = 5</v>
      </c>
      <c r="D145" s="12"/>
      <c r="V145" s="11" t="s">
        <v>252</v>
      </c>
    </row>
    <row r="146" customFormat="false" ht="12.75" hidden="false" customHeight="true" outlineLevel="0" collapsed="false">
      <c r="A146" s="26" t="str">
        <f aca="false">IF(V147&lt;&gt;"",V147,"")</f>
        <v>  diskalert = 5000</v>
      </c>
      <c r="D146" s="12"/>
      <c r="V146" s="11" t="s">
        <v>253</v>
      </c>
    </row>
    <row r="147" customFormat="false" ht="12.75" hidden="false" customHeight="true" outlineLevel="0" collapsed="false">
      <c r="A147" s="26" t="str">
        <f aca="false">IF(V148&lt;&gt;"",V148,"")</f>
        <v>  erroralert = 5</v>
      </c>
      <c r="D147" s="12"/>
      <c r="V147" s="11" t="s">
        <v>254</v>
      </c>
    </row>
    <row r="148" customFormat="false" ht="12.75" hidden="false" customHeight="true" outlineLevel="0" collapsed="false">
      <c r="A148" s="26" t="str">
        <f aca="false">IF(V149&lt;&gt;"",V149,"")</f>
        <v>  logonalert = 5</v>
      </c>
      <c r="D148" s="12"/>
      <c r="V148" s="11" t="s">
        <v>255</v>
      </c>
    </row>
    <row r="149" customFormat="false" ht="12.75" hidden="false" customHeight="true" outlineLevel="0" collapsed="false">
      <c r="A149" s="26" t="str">
        <f aca="false">IF(V150&lt;&gt;"",V150,"")</f>
        <v>  maxauditlog = 100</v>
      </c>
      <c r="D149" s="12"/>
      <c r="V149" s="11" t="s">
        <v>256</v>
      </c>
    </row>
    <row r="150" customFormat="false" ht="12.75" hidden="false" customHeight="true" outlineLevel="0" collapsed="false">
      <c r="A150" s="26" t="str">
        <f aca="false">IF(V151&lt;&gt;"",V151,"")</f>
        <v>  maxchdevjob = 8</v>
      </c>
      <c r="D150" s="12"/>
      <c r="V150" s="11" t="s">
        <v>257</v>
      </c>
    </row>
    <row r="151" customFormat="false" ht="12.75" hidden="false" customHeight="true" outlineLevel="0" collapsed="false">
      <c r="A151" s="26" t="str">
        <f aca="false">IF(V152&lt;&gt;"",V152,"")</f>
        <v>  maxchdevq = 8</v>
      </c>
      <c r="D151" s="12"/>
      <c r="V151" s="11" t="s">
        <v>258</v>
      </c>
    </row>
    <row r="152" customFormat="false" ht="12.75" hidden="false" customHeight="true" outlineLevel="0" collapsed="false">
      <c r="A152" s="26" t="str">
        <f aca="false">IF(V153&lt;&gt;"",V153,"")</f>
        <v>  maxchdevs = 8</v>
      </c>
      <c r="D152" s="12"/>
      <c r="V152" s="11" t="s">
        <v>259</v>
      </c>
    </row>
    <row r="153" customFormat="false" ht="12.75" hidden="false" customHeight="true" outlineLevel="0" collapsed="false">
      <c r="A153" s="26" t="str">
        <f aca="false">LEFT(V154,19)&amp;TEXT(I11,"###")</f>
        <v>  maxconnections = 192</v>
      </c>
      <c r="D153" s="12"/>
      <c r="V153" s="11" t="s">
        <v>260</v>
      </c>
    </row>
    <row r="154" customFormat="false" ht="12.75" hidden="false" customHeight="true" outlineLevel="0" collapsed="false">
      <c r="A154" s="26" t="str">
        <f aca="false">LEFT(V155,13)&amp;TEXT(I9,"###")</f>
        <v>  maxlocks = 64</v>
      </c>
      <c r="D154" s="12"/>
      <c r="V154" s="11" t="s">
        <v>261</v>
      </c>
    </row>
    <row r="155" customFormat="false" ht="12.75" hidden="false" customHeight="true" outlineLevel="0" collapsed="false">
      <c r="A155" s="26" t="str">
        <f aca="false">LEFT(V156,13)&amp;TEXT(I10,"###")</f>
        <v>  maxopens = 64</v>
      </c>
      <c r="D155" s="12"/>
      <c r="V155" s="11" t="s">
        <v>262</v>
      </c>
    </row>
    <row r="156" customFormat="false" ht="12.75" hidden="false" customHeight="true" outlineLevel="0" collapsed="false">
      <c r="A156" s="26" t="str">
        <f aca="false">LEFT(V157,16)&amp;TEXT(I15,"###")</f>
        <v>  maxsearches = 50</v>
      </c>
      <c r="D156" s="12"/>
      <c r="V156" s="11" t="s">
        <v>263</v>
      </c>
    </row>
    <row r="157" customFormat="false" ht="12.75" hidden="false" customHeight="true" outlineLevel="0" collapsed="false">
      <c r="A157" s="26" t="str">
        <f aca="false">LEFT(V158,17)&amp;TEXT(Q21,"##")</f>
        <v>  maxsessopens = 55</v>
      </c>
      <c r="D157" s="12"/>
      <c r="V157" s="11" t="s">
        <v>264</v>
      </c>
    </row>
    <row r="158" customFormat="false" ht="12.75" hidden="false" customHeight="true" outlineLevel="0" collapsed="false">
      <c r="A158" s="26" t="str">
        <f aca="false">IF(V159&lt;&gt;"",V159,"")</f>
        <v>  maxsessreqs = 50</v>
      </c>
      <c r="D158" s="12"/>
      <c r="V158" s="11" t="s">
        <v>265</v>
      </c>
    </row>
    <row r="159" customFormat="false" ht="12.75" hidden="false" customHeight="true" outlineLevel="0" collapsed="false">
      <c r="A159" s="26" t="str">
        <f aca="false">IF(V160&lt;&gt;"",V160,"")</f>
        <v>  maxsessvcs = 1</v>
      </c>
      <c r="D159" s="12"/>
      <c r="V159" s="11" t="s">
        <v>266</v>
      </c>
    </row>
    <row r="160" customFormat="false" ht="12.75" hidden="false" customHeight="true" outlineLevel="0" collapsed="false">
      <c r="A160" s="26" t="str">
        <f aca="false">LEFT(V161,14)&amp;TEXT(I8,"###")</f>
        <v>  maxshares = 32</v>
      </c>
      <c r="D160" s="12"/>
      <c r="V160" s="11" t="s">
        <v>267</v>
      </c>
    </row>
    <row r="161" customFormat="false" ht="12.75" hidden="false" customHeight="true" outlineLevel="0" collapsed="false">
      <c r="A161" s="26" t="str">
        <f aca="false">IF(V162&lt;&gt;"",V162,"")</f>
        <v>  netioalert = 5</v>
      </c>
      <c r="D161" s="12"/>
      <c r="V161" s="11" t="s">
        <v>268</v>
      </c>
    </row>
    <row r="162" customFormat="false" ht="12.75" hidden="false" customHeight="true" outlineLevel="0" collapsed="false">
      <c r="A162" s="26" t="str">
        <f aca="false">LEFT(V163,14)&amp;TEXT(I13,"###")</f>
        <v>  numbigbuf = 23</v>
      </c>
      <c r="D162" s="12"/>
      <c r="V162" s="11" t="s">
        <v>269</v>
      </c>
    </row>
    <row r="163" customFormat="false" ht="12.75" hidden="false" customHeight="true" outlineLevel="0" collapsed="false">
      <c r="A163" s="26" t="str">
        <f aca="false">LEFT(V164,17)&amp;TEXT(Q7,"##")</f>
        <v>  numfiletasks = 1</v>
      </c>
      <c r="D163" s="12"/>
      <c r="V163" s="11" t="s">
        <v>270</v>
      </c>
    </row>
    <row r="164" customFormat="false" ht="12.75" hidden="false" customHeight="true" outlineLevel="0" collapsed="false">
      <c r="A164" s="26" t="str">
        <f aca="false">LEFT(V165,14)&amp;TEXT(I12,"###")</f>
        <v>  numreqbuf = 64</v>
      </c>
      <c r="D164" s="12"/>
      <c r="V164" s="11" t="s">
        <v>271</v>
      </c>
    </row>
    <row r="165" customFormat="false" ht="12.75" hidden="false" customHeight="true" outlineLevel="0" collapsed="false">
      <c r="A165" s="26" t="str">
        <f aca="false">IF(V166&lt;&gt;"",V166,"")</f>
        <v>  pipebuf = 8192</v>
      </c>
      <c r="D165" s="12"/>
      <c r="V165" s="11" t="s">
        <v>272</v>
      </c>
    </row>
    <row r="166" customFormat="false" ht="12.75" hidden="false" customHeight="true" outlineLevel="0" collapsed="false">
      <c r="A166" s="26" t="str">
        <f aca="false">IF(V167&lt;&gt;"",V167,"")</f>
        <v>  sizreqbuf = 4096</v>
      </c>
      <c r="D166" s="12"/>
      <c r="V166" s="11" t="s">
        <v>273</v>
      </c>
    </row>
    <row r="167" customFormat="false" ht="12.75" hidden="false" customHeight="true" outlineLevel="0" collapsed="false">
      <c r="A167" s="26" t="str">
        <f aca="false">IF(V168&lt;&gt;"",V168,"")</f>
        <v>  srvanndelta = 3000</v>
      </c>
      <c r="D167" s="12"/>
      <c r="V167" s="11" t="s">
        <v>274</v>
      </c>
    </row>
    <row r="168" customFormat="false" ht="12.75" hidden="false" customHeight="true" outlineLevel="0" collapsed="false">
      <c r="A168" s="26" t="str">
        <f aca="false">IF(V169&lt;&gt;"",V169,"")</f>
        <v>  srvannounce = 60</v>
      </c>
      <c r="D168" s="12"/>
      <c r="V168" s="11" t="s">
        <v>275</v>
      </c>
    </row>
    <row r="169" customFormat="false" ht="12.75" hidden="false" customHeight="true" outlineLevel="0" collapsed="false">
      <c r="A169" s="26" t="str">
        <f aca="false">LEFT(V170,13)&amp;TEXT(I17,"##")</f>
        <v>  srvpipes = 3</v>
      </c>
      <c r="D169" s="12"/>
      <c r="V169" s="11" t="s">
        <v>276</v>
      </c>
    </row>
    <row r="170" customFormat="false" ht="12.75" hidden="false" customHeight="true" outlineLevel="0" collapsed="false">
      <c r="A170" s="26" t="str">
        <f aca="false">IF(V171&lt;&gt;"",V171,"")</f>
        <v/>
      </c>
      <c r="D170" s="12"/>
      <c r="V170" s="11" t="s">
        <v>277</v>
      </c>
    </row>
    <row r="171" customFormat="false" ht="12.75" hidden="false" customHeight="true" outlineLevel="0" collapsed="false">
      <c r="A171" s="26" t="str">
        <f aca="false">IF(V172&lt;&gt;"",V172,"")</f>
        <v>; The next lines help you to locate bits in the srvheuristics entry.</v>
      </c>
      <c r="D171" s="12"/>
    </row>
    <row r="172" customFormat="false" ht="12.75" hidden="false" customHeight="true" outlineLevel="0" collapsed="false">
      <c r="A172" s="26" t="str">
        <f aca="false">IF(V173&lt;&gt;"",V173,"")</f>
        <v>;                                                     1</v>
      </c>
      <c r="D172" s="12"/>
      <c r="V172" s="11" t="s">
        <v>278</v>
      </c>
    </row>
    <row r="173" customFormat="false" ht="12.75" hidden="false" customHeight="true" outlineLevel="0" collapsed="false">
      <c r="A173" s="26" t="str">
        <f aca="false">IF(V174&lt;&gt;"",V174,"")</f>
        <v>;                             0123456789012345678</v>
      </c>
      <c r="D173" s="12"/>
      <c r="V173" s="11" t="s">
        <v>279</v>
      </c>
    </row>
    <row r="174" customFormat="false" ht="12.75" hidden="false" customHeight="true" outlineLevel="0" collapsed="false">
      <c r="A174" s="26" t="str">
        <f aca="false">IF(V175&lt;&gt;"",V175,"")</f>
        <v> srvheuristics = 1111014111331400133</v>
      </c>
      <c r="D174" s="12"/>
      <c r="V174" s="11" t="s">
        <v>280</v>
      </c>
    </row>
    <row r="175" customFormat="false" ht="12.75" hidden="false" customHeight="true" outlineLevel="0" collapsed="false">
      <c r="A175" s="26" t="str">
        <f aca="false">IF(V176&lt;&gt;"",V176,"")</f>
        <v/>
      </c>
      <c r="D175" s="12"/>
      <c r="V175" s="26" t="str">
        <f aca="false">IF(S30=0," srvheuristics = 1111014111331200133 "," srvheuristics = 1111014111331400133")</f>
        <v> srvheuristics = 1111014111331400133</v>
      </c>
    </row>
    <row r="176" customFormat="false" ht="12.75" hidden="false" customHeight="true" outlineLevel="0" collapsed="false">
      <c r="A176" s="26" t="str">
        <f aca="false">IF(V177&lt;&gt;"",V177,"")</f>
        <v>  srvnets = net1</v>
      </c>
      <c r="D176" s="12"/>
    </row>
    <row r="177" customFormat="false" ht="12.75" hidden="false" customHeight="true" outlineLevel="0" collapsed="false">
      <c r="A177" s="26" t="str">
        <f aca="false">LEFT(V178,39)&amp;IF(S8=1,",DLRINST","")&amp;IF(S9=2,",PCDOSRPL","")</f>
        <v>  SRVSERVICES = NETLOGON,ALERTER,NETRUN</v>
      </c>
      <c r="D177" s="12"/>
      <c r="V177" s="11" t="s">
        <v>281</v>
      </c>
    </row>
    <row r="178" customFormat="false" ht="12.75" hidden="false" customHeight="true" outlineLevel="0" collapsed="false">
      <c r="A178" s="26" t="str">
        <f aca="false">IF(V179&lt;&gt;"",V179,"")</f>
        <v/>
      </c>
      <c r="D178" s="12"/>
      <c r="V178" s="11" t="s">
        <v>282</v>
      </c>
    </row>
    <row r="179" customFormat="false" ht="12.75" hidden="false" customHeight="true" outlineLevel="0" collapsed="false">
      <c r="A179" s="26" t="str">
        <f aca="false">IF(V180&lt;&gt;"",V180,"")</f>
        <v>[alerter]</v>
      </c>
      <c r="D179" s="12"/>
    </row>
    <row r="180" customFormat="false" ht="12.75" hidden="false" customHeight="true" outlineLevel="0" collapsed="false">
      <c r="A180" s="26" t="str">
        <f aca="false">IF(V181&lt;&gt;"",V181,"")</f>
        <v>  sizalertbuf = 3072</v>
      </c>
      <c r="D180" s="12"/>
      <c r="V180" s="11" t="s">
        <v>283</v>
      </c>
    </row>
    <row r="181" customFormat="false" ht="12.75" hidden="false" customHeight="true" outlineLevel="0" collapsed="false">
      <c r="A181" s="26" t="str">
        <f aca="false">IF(V182&lt;&gt;"",V182,"")</f>
        <v/>
      </c>
      <c r="D181" s="12"/>
      <c r="V181" s="11" t="s">
        <v>284</v>
      </c>
    </row>
    <row r="182" customFormat="false" ht="12.75" hidden="false" customHeight="true" outlineLevel="0" collapsed="false">
      <c r="A182" s="26" t="str">
        <f aca="false">IF(V183&lt;&gt;"",V183,"")</f>
        <v>[netrun]</v>
      </c>
      <c r="D182" s="12"/>
    </row>
    <row r="183" customFormat="false" ht="12.75" hidden="false" customHeight="true" outlineLevel="0" collapsed="false">
      <c r="A183" s="26" t="str">
        <f aca="false">IF(V184&lt;&gt;"",V184,"")</f>
        <v>  maxruns = 3</v>
      </c>
      <c r="D183" s="12"/>
      <c r="V183" s="11" t="s">
        <v>285</v>
      </c>
    </row>
    <row r="184" customFormat="false" ht="12.75" hidden="false" customHeight="true" outlineLevel="0" collapsed="false">
      <c r="A184" s="26" t="str">
        <f aca="false">IF(V185&lt;&gt;"",V185,"")</f>
        <v>  runpath = C:\</v>
      </c>
      <c r="D184" s="12"/>
      <c r="V184" s="11" t="s">
        <v>286</v>
      </c>
    </row>
    <row r="185" customFormat="false" ht="12.75" hidden="false" customHeight="true" outlineLevel="0" collapsed="false">
      <c r="A185" s="26" t="str">
        <f aca="false">IF(V186&lt;&gt;"",V186,"")</f>
        <v/>
      </c>
      <c r="D185" s="12"/>
      <c r="V185" s="11" t="s">
        <v>287</v>
      </c>
    </row>
    <row r="186" customFormat="false" ht="12.75" hidden="false" customHeight="true" outlineLevel="0" collapsed="false">
      <c r="A186" s="26" t="str">
        <f aca="false">IF(V187&lt;&gt;"",V187,"")</f>
        <v>[services]</v>
      </c>
      <c r="D186" s="12"/>
    </row>
    <row r="187" customFormat="false" ht="12.75" hidden="false" customHeight="true" outlineLevel="0" collapsed="false">
      <c r="A187" s="26" t="str">
        <f aca="false">IF(V188&lt;&gt;"",V188,"")</f>
        <v>  DLRINST = SERVICES\DLRINST.EXE</v>
      </c>
      <c r="D187" s="12"/>
      <c r="V187" s="11" t="s">
        <v>288</v>
      </c>
    </row>
    <row r="188" customFormat="false" ht="12.75" hidden="false" customHeight="true" outlineLevel="0" collapsed="false">
      <c r="A188" s="26" t="str">
        <f aca="false">IF(V189&lt;&gt;"",V189,"")</f>
        <v>; Correlates name of service to pathname of service program.</v>
      </c>
      <c r="D188" s="12"/>
      <c r="V188" s="11" t="s">
        <v>289</v>
      </c>
    </row>
    <row r="189" customFormat="false" ht="12.75" hidden="false" customHeight="true" outlineLevel="0" collapsed="false">
      <c r="A189" s="26" t="str">
        <f aca="false">IF(V190&lt;&gt;"",V190,"")</f>
        <v>; The pathname must be either</v>
      </c>
      <c r="D189" s="12"/>
      <c r="V189" s="11" t="s">
        <v>290</v>
      </c>
    </row>
    <row r="190" customFormat="false" ht="12.75" hidden="false" customHeight="true" outlineLevel="0" collapsed="false">
      <c r="A190" s="26" t="str">
        <f aca="false">IF(V191&lt;&gt;"",V191,"")</f>
        <v>;       1) an absolute path (including the drive specification)</v>
      </c>
      <c r="D190" s="12"/>
      <c r="V190" s="11" t="s">
        <v>291</v>
      </c>
    </row>
    <row r="191" customFormat="false" ht="12.75" hidden="false" customHeight="true" outlineLevel="0" collapsed="false">
      <c r="A191" s="26" t="str">
        <f aca="false">IF(V192&lt;&gt;"",V192,"")</f>
        <v>;                       OR</v>
      </c>
      <c r="D191" s="12"/>
      <c r="V191" s="11" t="s">
        <v>292</v>
      </c>
    </row>
    <row r="192" customFormat="false" ht="12.75" hidden="false" customHeight="true" outlineLevel="0" collapsed="false">
      <c r="A192" s="26" t="str">
        <f aca="false">IF(V193&lt;&gt;"",V193,"")</f>
        <v>;       2) a path relative to the IBMLAN root</v>
      </c>
      <c r="D192" s="12"/>
      <c r="V192" s="11" t="s">
        <v>293</v>
      </c>
    </row>
    <row r="193" customFormat="false" ht="12.75" hidden="false" customHeight="true" outlineLevel="0" collapsed="false">
      <c r="A193" s="26" t="str">
        <f aca="false">IF(V194&lt;&gt;"",V194,"")</f>
        <v/>
      </c>
      <c r="D193" s="12"/>
      <c r="V193" s="11" t="s">
        <v>294</v>
      </c>
    </row>
    <row r="194" customFormat="false" ht="12.75" hidden="false" customHeight="true" outlineLevel="0" collapsed="false">
      <c r="A194" s="26" t="str">
        <f aca="false">IF(V195&lt;&gt;"",V195,"")</f>
        <v>  requester = services\wksta.exe</v>
      </c>
      <c r="D194" s="12"/>
    </row>
    <row r="195" customFormat="false" ht="12.75" hidden="false" customHeight="true" outlineLevel="0" collapsed="false">
      <c r="A195" s="26" t="str">
        <f aca="false">IF(V196&lt;&gt;"",V196,"")</f>
        <v>  messenger = services\msrvinit.exe</v>
      </c>
      <c r="D195" s="12"/>
      <c r="V195" s="11" t="s">
        <v>295</v>
      </c>
    </row>
    <row r="196" customFormat="false" ht="12.75" hidden="false" customHeight="true" outlineLevel="0" collapsed="false">
      <c r="A196" s="26" t="str">
        <f aca="false">IF(V197&lt;&gt;"",V197,"")</f>
        <v>  netpopup = services\netpopup.exe</v>
      </c>
      <c r="D196" s="12"/>
      <c r="V196" s="11" t="s">
        <v>296</v>
      </c>
    </row>
    <row r="197" customFormat="false" ht="12.75" hidden="false" customHeight="true" outlineLevel="0" collapsed="false">
      <c r="A197" s="26" t="str">
        <f aca="false">IF(V198&lt;&gt;"",V198,"")</f>
        <v>  server = services\netsvini.exe</v>
      </c>
      <c r="D197" s="12"/>
      <c r="V197" s="11" t="s">
        <v>297</v>
      </c>
    </row>
    <row r="198" customFormat="false" ht="12.75" hidden="false" customHeight="true" outlineLevel="0" collapsed="false">
      <c r="A198" s="26" t="str">
        <f aca="false">IF(V199&lt;&gt;"",V199,"")</f>
        <v>  alerter = services\alerter.exe</v>
      </c>
      <c r="D198" s="12"/>
      <c r="V198" s="11" t="s">
        <v>298</v>
      </c>
    </row>
    <row r="199" customFormat="false" ht="12.75" hidden="false" customHeight="true" outlineLevel="0" collapsed="false">
      <c r="A199" s="26" t="str">
        <f aca="false">IF(V200&lt;&gt;"",V200,"")</f>
        <v>  netlogon = services\netlogon.exe</v>
      </c>
      <c r="D199" s="12"/>
      <c r="V199" s="11" t="s">
        <v>299</v>
      </c>
    </row>
    <row r="200" customFormat="false" ht="12.75" hidden="false" customHeight="true" outlineLevel="0" collapsed="false">
      <c r="A200" s="26" t="str">
        <f aca="false">IF(V201&lt;&gt;"",V201,"")</f>
        <v>  replicator = services\replicat.exe</v>
      </c>
      <c r="D200" s="12"/>
      <c r="V200" s="11" t="s">
        <v>300</v>
      </c>
    </row>
    <row r="201" customFormat="false" ht="12.75" hidden="false" customHeight="true" outlineLevel="0" collapsed="false">
      <c r="A201" s="26" t="str">
        <f aca="false">IF(V202&lt;&gt;"",V202,"")</f>
        <v>  pcdosrpl = services\pcdosrpl.exe</v>
      </c>
      <c r="D201" s="12"/>
      <c r="V201" s="11" t="s">
        <v>301</v>
      </c>
    </row>
    <row r="202" customFormat="false" ht="12.75" hidden="false" customHeight="true" outlineLevel="0" collapsed="false">
      <c r="A202" s="26" t="str">
        <f aca="false">IF(V203&lt;&gt;"",V203,"")</f>
        <v>  netrun = services\runservr.exe</v>
      </c>
      <c r="D202" s="12"/>
      <c r="V202" s="11" t="s">
        <v>302</v>
      </c>
    </row>
    <row r="203" customFormat="false" ht="12.75" hidden="false" customHeight="true" outlineLevel="0" collapsed="false">
      <c r="D203" s="12"/>
      <c r="J203" s="40"/>
      <c r="V203" s="11" t="s">
        <v>303</v>
      </c>
    </row>
    <row r="204" customFormat="false" ht="12.75" hidden="false" customHeight="true" outlineLevel="0" collapsed="false">
      <c r="D204" s="12"/>
      <c r="J204" s="40"/>
    </row>
    <row r="205" customFormat="false" ht="12.75" hidden="false" customHeight="true" outlineLevel="0" collapsed="false">
      <c r="A205" s="6"/>
      <c r="B205" s="6"/>
      <c r="C205" s="6"/>
      <c r="D205" s="7"/>
      <c r="J205" s="40"/>
    </row>
    <row r="206" customFormat="false" ht="12.75" hidden="false" customHeight="true" outlineLevel="0" collapsed="false">
      <c r="J206" s="40"/>
    </row>
    <row r="207" customFormat="false" ht="12.75" hidden="false" customHeight="true" outlineLevel="0" collapsed="false">
      <c r="J207" s="40"/>
    </row>
    <row r="208" customFormat="false" ht="12.75" hidden="false" customHeight="true" outlineLevel="0" collapsed="false">
      <c r="J208" s="40"/>
    </row>
    <row r="209" customFormat="false" ht="12.75" hidden="false" customHeight="true" outlineLevel="0" collapsed="false">
      <c r="D209" s="25"/>
      <c r="J209" s="40"/>
    </row>
    <row r="210" customFormat="false" ht="12.75" hidden="false" customHeight="true" outlineLevel="0" collapsed="false">
      <c r="A210" s="32" t="s">
        <v>304</v>
      </c>
      <c r="B210" s="3"/>
      <c r="C210" s="3"/>
      <c r="D210" s="41"/>
      <c r="J210" s="40"/>
    </row>
    <row r="218" customFormat="false" ht="12.75" hidden="false" customHeight="true" outlineLevel="0" collapsed="false">
      <c r="V218" s="25" t="s">
        <v>305</v>
      </c>
    </row>
    <row r="219" customFormat="false" ht="12.75" hidden="false" customHeight="true" outlineLevel="0" collapsed="false">
      <c r="V219" s="11" t="s">
        <v>306</v>
      </c>
    </row>
    <row r="220" customFormat="false" ht="12.75" hidden="false" customHeight="true" outlineLevel="0" collapsed="false">
      <c r="V220" s="26" t="str">
        <f aca="false">IF(B17="Y",";DISKCACHE=    ,128",";DISKCACHE=    ,8")</f>
        <v>;DISKCACHE=    ,128</v>
      </c>
    </row>
    <row r="221" customFormat="false" ht="12.75" hidden="false" customHeight="true" outlineLevel="0" collapsed="false">
      <c r="A221" s="18" t="s">
        <v>307</v>
      </c>
      <c r="B221" s="20"/>
      <c r="C221" s="21"/>
    </row>
    <row r="222" customFormat="false" ht="12.75" hidden="false" customHeight="true" outlineLevel="0" collapsed="false">
      <c r="A222" s="25" t="s">
        <v>308</v>
      </c>
      <c r="B222" s="26" t="n">
        <f aca="false">F4</f>
        <v>3</v>
      </c>
      <c r="D222" s="10" t="s">
        <v>26</v>
      </c>
    </row>
    <row r="223" customFormat="false" ht="12.75" hidden="false" customHeight="true" outlineLevel="0" collapsed="false">
      <c r="A223" s="25" t="s">
        <v>309</v>
      </c>
      <c r="B223" s="26" t="n">
        <f aca="false">F5</f>
        <v>33</v>
      </c>
      <c r="C223" s="11" t="s">
        <v>26</v>
      </c>
      <c r="D223" s="10" t="s">
        <v>26</v>
      </c>
    </row>
    <row r="224" customFormat="false" ht="12.75" hidden="false" customHeight="true" outlineLevel="0" collapsed="false">
      <c r="A224" s="25" t="s">
        <v>310</v>
      </c>
      <c r="B224" s="26" t="n">
        <f aca="false">F6</f>
        <v>3</v>
      </c>
      <c r="D224" s="10"/>
    </row>
    <row r="225" customFormat="false" ht="12.75" hidden="false" customHeight="true" outlineLevel="0" collapsed="false">
      <c r="A225" s="25" t="s">
        <v>311</v>
      </c>
      <c r="B225" s="26" t="n">
        <f aca="false">F7</f>
        <v>4464</v>
      </c>
      <c r="C225" s="42" t="s">
        <v>26</v>
      </c>
      <c r="D225" s="10"/>
    </row>
    <row r="226" customFormat="false" ht="12.75" hidden="false" customHeight="true" outlineLevel="0" collapsed="false">
      <c r="A226" s="11" t="s">
        <v>312</v>
      </c>
      <c r="B226" s="26" t="n">
        <f aca="false">F8</f>
        <v>2</v>
      </c>
      <c r="D226" s="10"/>
    </row>
    <row r="227" customFormat="false" ht="12.75" hidden="false" customHeight="true" outlineLevel="0" collapsed="false">
      <c r="A227" s="25" t="s">
        <v>313</v>
      </c>
      <c r="B227" s="26" t="n">
        <f aca="false">F9</f>
        <v>800</v>
      </c>
      <c r="D227" s="10"/>
    </row>
    <row r="228" customFormat="false" ht="12.75" hidden="false" customHeight="true" outlineLevel="0" collapsed="false">
      <c r="A228" s="25" t="s">
        <v>314</v>
      </c>
      <c r="B228" s="26" t="n">
        <f aca="false">F10</f>
        <v>30</v>
      </c>
      <c r="D228" s="10"/>
    </row>
    <row r="229" customFormat="false" ht="12.75" hidden="false" customHeight="true" outlineLevel="0" collapsed="false">
      <c r="A229" s="43" t="s">
        <v>315</v>
      </c>
      <c r="B229" s="25"/>
      <c r="D229" s="10"/>
    </row>
    <row r="230" customFormat="false" ht="12.75" hidden="false" customHeight="true" outlineLevel="0" collapsed="false">
      <c r="A230" s="18" t="s">
        <v>316</v>
      </c>
      <c r="B230" s="44"/>
      <c r="C230" s="20"/>
      <c r="D230" s="10"/>
    </row>
    <row r="231" customFormat="false" ht="12.75" hidden="false" customHeight="true" outlineLevel="0" collapsed="false">
      <c r="A231" s="25" t="s">
        <v>317</v>
      </c>
      <c r="B231" s="26" t="str">
        <f aca="false">F13</f>
        <v>Yes</v>
      </c>
      <c r="D231" s="10"/>
    </row>
    <row r="232" customFormat="false" ht="12.75" hidden="false" customHeight="true" outlineLevel="0" collapsed="false">
      <c r="A232" s="25" t="s">
        <v>318</v>
      </c>
      <c r="B232" s="26" t="n">
        <f aca="false">F14</f>
        <v>32</v>
      </c>
      <c r="D232" s="10"/>
    </row>
    <row r="233" customFormat="false" ht="12.75" hidden="false" customHeight="true" outlineLevel="0" collapsed="false">
      <c r="A233" s="25" t="s">
        <v>319</v>
      </c>
      <c r="B233" s="26" t="n">
        <f aca="false">F15</f>
        <v>32</v>
      </c>
      <c r="D233" s="10"/>
    </row>
    <row r="234" customFormat="false" ht="12.75" hidden="false" customHeight="true" outlineLevel="0" collapsed="false">
      <c r="A234" s="25" t="s">
        <v>320</v>
      </c>
      <c r="B234" s="26" t="n">
        <f aca="false">F16</f>
        <v>97</v>
      </c>
      <c r="D234" s="10"/>
    </row>
    <row r="235" customFormat="false" ht="12.75" hidden="false" customHeight="true" outlineLevel="0" collapsed="false">
      <c r="A235" s="25" t="s">
        <v>321</v>
      </c>
      <c r="B235" s="26" t="n">
        <f aca="false">F17</f>
        <v>17</v>
      </c>
      <c r="D235" s="10"/>
    </row>
    <row r="236" customFormat="false" ht="12.75" hidden="false" customHeight="true" outlineLevel="0" collapsed="false">
      <c r="A236" s="25" t="s">
        <v>322</v>
      </c>
      <c r="B236" s="26" t="n">
        <f aca="false">F18</f>
        <v>32</v>
      </c>
      <c r="D236" s="10"/>
    </row>
    <row r="237" customFormat="false" ht="12.75" hidden="false" customHeight="true" outlineLevel="0" collapsed="false">
      <c r="A237" s="25" t="s">
        <v>315</v>
      </c>
      <c r="D237" s="10"/>
    </row>
    <row r="238" customFormat="false" ht="12.75" hidden="false" customHeight="true" outlineLevel="0" collapsed="false">
      <c r="A238" s="18" t="s">
        <v>323</v>
      </c>
      <c r="B238" s="20"/>
      <c r="C238" s="20"/>
      <c r="D238" s="10"/>
    </row>
    <row r="239" customFormat="false" ht="12.75" hidden="false" customHeight="true" outlineLevel="0" collapsed="false">
      <c r="A239" s="26" t="str">
        <f aca="false">LEFT(E21,33)</f>
        <v>;DISKCACHE=3164,128</v>
      </c>
      <c r="D239" s="10"/>
    </row>
    <row r="240" customFormat="false" ht="12.75" hidden="false" customHeight="true" outlineLevel="0" collapsed="false">
      <c r="A240" s="26" t="str">
        <f aca="false">LEFT(V218,26)&amp;TEXT(G9,"####")</f>
        <v>;IFS=C:\OS2\HPFS.IFS   -C:128</v>
      </c>
      <c r="C240" s="12"/>
    </row>
    <row r="241" customFormat="false" ht="12.75" hidden="false" customHeight="true" outlineLevel="0" collapsed="false">
      <c r="A241" s="26" t="str">
        <f aca="false">LEFT(V219,32)</f>
        <v>;RUN=C:\OS2\CACHE.EXE   /LAZY:ON</v>
      </c>
      <c r="C241" s="12"/>
    </row>
    <row r="242" customFormat="false" ht="12.75" hidden="false" customHeight="true" outlineLevel="0" collapsed="false">
      <c r="A242" s="11" t="s">
        <v>315</v>
      </c>
      <c r="C242" s="12"/>
    </row>
    <row r="243" customFormat="false" ht="12.75" hidden="false" customHeight="true" outlineLevel="0" collapsed="false">
      <c r="A243" s="11" t="s">
        <v>315</v>
      </c>
      <c r="C243" s="12"/>
    </row>
    <row r="244" customFormat="false" ht="12.75" hidden="false" customHeight="true" outlineLevel="0" collapsed="false">
      <c r="A244" s="45" t="s">
        <v>26</v>
      </c>
      <c r="B244" s="46"/>
      <c r="C244" s="46"/>
      <c r="D244" s="35"/>
    </row>
    <row r="245" customFormat="false" ht="12.75" hidden="false" customHeight="true" outlineLevel="0" collapsed="false">
      <c r="A245" s="47"/>
      <c r="B245" s="47" t="s">
        <v>324</v>
      </c>
      <c r="C245" s="47"/>
      <c r="D245" s="4"/>
    </row>
    <row r="246" customFormat="false" ht="12.75" hidden="false" customHeight="true" outlineLevel="0" collapsed="false">
      <c r="A246" s="48" t="s">
        <v>26</v>
      </c>
      <c r="B246" s="47" t="s">
        <v>325</v>
      </c>
      <c r="C246" s="47"/>
      <c r="D246" s="4"/>
    </row>
    <row r="247" customFormat="false" ht="12.75" hidden="false" customHeight="true" outlineLevel="0" collapsed="false">
      <c r="A247" s="49"/>
      <c r="B247" s="49"/>
      <c r="C247" s="49"/>
      <c r="D247" s="38"/>
    </row>
    <row r="343" customFormat="false" ht="12.75" hidden="false" customHeight="true" outlineLevel="0" collapsed="false">
      <c r="A343" s="9"/>
    </row>
    <row r="843" customFormat="false" ht="12.75" hidden="false" customHeight="true" outlineLevel="0" collapsed="false">
      <c r="A843" s="11" t="s">
        <v>26</v>
      </c>
    </row>
    <row r="844" customFormat="false" ht="12.75" hidden="false" customHeight="true" outlineLevel="0" collapsed="false">
      <c r="A844" s="11" t="s">
        <v>26</v>
      </c>
    </row>
  </sheetData>
  <printOptions headings="true" gridLines="true" gridLinesSet="true" horizontalCentered="false" verticalCentered="false"/>
  <pageMargins left="0.75" right="0.75" top="0.86111111111111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&amp;CPage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LibreOffice/7.0.3.1$Windows_X86_64 LibreOffice_project/d7547858d014d4cf69878db179d326fc3483e082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es-ES</dc:language>
  <cp:lastModifiedBy/>
  <cp:revision>0</cp:revision>
  <dc:subject/>
  <dc:title/>
</cp:coreProperties>
</file>